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639AE0A6-A28E-4A4E-B479-CDB49B5347F7}" xr6:coauthVersionLast="37" xr6:coauthVersionMax="47" xr10:uidLastSave="{00000000-0000-0000-0000-000000000000}"/>
  <bookViews>
    <workbookView xWindow="0" yWindow="0" windowWidth="24000" windowHeight="910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430" i="21" l="1"/>
  <c r="J432" i="21"/>
  <c r="J431" i="21"/>
  <c r="J433" i="21"/>
  <c r="I563" i="21" l="1"/>
  <c r="I562" i="21"/>
  <c r="I563" i="20"/>
  <c r="I562" i="20"/>
  <c r="I563" i="19"/>
  <c r="I562" i="19"/>
  <c r="I563" i="18"/>
  <c r="I562" i="18"/>
  <c r="J452" i="18"/>
  <c r="J432" i="18"/>
  <c r="J154" i="18"/>
  <c r="I563" i="17"/>
  <c r="I562" i="17"/>
  <c r="J420" i="17"/>
  <c r="I563" i="16"/>
  <c r="I562" i="16"/>
  <c r="I563" i="15"/>
  <c r="I562" i="15"/>
  <c r="I563" i="14"/>
  <c r="I562" i="14"/>
  <c r="I563" i="13"/>
  <c r="I562" i="13"/>
  <c r="I563" i="12"/>
  <c r="I562" i="12"/>
  <c r="I563" i="11"/>
  <c r="I562" i="11"/>
  <c r="I563" i="10"/>
  <c r="I562" i="10"/>
  <c r="I563" i="9"/>
  <c r="I562" i="9"/>
  <c r="I563" i="8"/>
  <c r="I562" i="8"/>
  <c r="J429" i="8"/>
  <c r="I563" i="7"/>
  <c r="I562" i="7"/>
  <c r="I563" i="6"/>
  <c r="I562" i="6"/>
  <c r="I563" i="5"/>
  <c r="I562" i="5"/>
  <c r="I563" i="4"/>
  <c r="I562" i="4"/>
  <c r="I563" i="3"/>
  <c r="I562" i="3"/>
  <c r="I563" i="2"/>
  <c r="I562" i="2"/>
  <c r="J635" i="21" l="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3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J562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I432" i="21"/>
  <c r="I431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M331" i="21" s="1"/>
  <c r="O332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P311" i="21"/>
  <c r="N311" i="21"/>
  <c r="M311" i="2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M292" i="21" s="1"/>
  <c r="P292" i="21" s="1"/>
  <c r="O293" i="21"/>
  <c r="N291" i="21"/>
  <c r="M291" i="21"/>
  <c r="P291" i="21" s="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O272" i="21"/>
  <c r="N272" i="21"/>
  <c r="M272" i="21"/>
  <c r="P272" i="21" s="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O221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P141" i="21"/>
  <c r="N141" i="21"/>
  <c r="M141" i="2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M120" i="21" s="1"/>
  <c r="P120" i="21" s="1"/>
  <c r="O121" i="21"/>
  <c r="O119" i="21"/>
  <c r="N119" i="21"/>
  <c r="M119" i="21"/>
  <c r="P119" i="21" s="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L100" i="21"/>
  <c r="L99" i="21"/>
  <c r="N98" i="21"/>
  <c r="M98" i="21"/>
  <c r="O97" i="21"/>
  <c r="P95" i="21"/>
  <c r="N95" i="21"/>
  <c r="M95" i="21"/>
  <c r="L95" i="21"/>
  <c r="O95" i="21" s="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O69" i="21"/>
  <c r="O67" i="21"/>
  <c r="N67" i="21"/>
  <c r="M67" i="21"/>
  <c r="P67" i="21" s="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M53" i="21" s="1"/>
  <c r="P54" i="21"/>
  <c r="N54" i="21"/>
  <c r="M54" i="21"/>
  <c r="L54" i="21"/>
  <c r="O54" i="21" s="1"/>
  <c r="N49" i="21"/>
  <c r="L49" i="21"/>
  <c r="L47" i="21"/>
  <c r="L46" i="21"/>
  <c r="N45" i="21"/>
  <c r="M45" i="21"/>
  <c r="N42" i="21"/>
  <c r="M42" i="21"/>
  <c r="P42" i="21" s="1"/>
  <c r="L42" i="21"/>
  <c r="O42" i="21" s="1"/>
  <c r="P36" i="21"/>
  <c r="O36" i="21"/>
  <c r="P35" i="21"/>
  <c r="O35" i="21"/>
  <c r="P34" i="21"/>
  <c r="M34" i="21"/>
  <c r="M33" i="21"/>
  <c r="P33" i="21" s="1"/>
  <c r="P32" i="21"/>
  <c r="M32" i="21"/>
  <c r="M31" i="21"/>
  <c r="P31" i="21" s="1"/>
  <c r="P30" i="21"/>
  <c r="M30" i="21"/>
  <c r="P25" i="21"/>
  <c r="N25" i="21"/>
  <c r="M25" i="21"/>
  <c r="L25" i="21"/>
  <c r="N24" i="21"/>
  <c r="M24" i="21"/>
  <c r="P24" i="21" s="1"/>
  <c r="P23" i="21"/>
  <c r="N23" i="21"/>
  <c r="M23" i="21"/>
  <c r="P21" i="21"/>
  <c r="N21" i="21"/>
  <c r="M21" i="21"/>
  <c r="L21" i="21"/>
  <c r="O21" i="21" s="1"/>
  <c r="M19" i="21"/>
  <c r="P19" i="21" s="1"/>
  <c r="L19" i="21"/>
  <c r="M15" i="21"/>
  <c r="P15" i="21" s="1"/>
  <c r="M13" i="21"/>
  <c r="P13" i="21" s="1"/>
  <c r="M11" i="21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1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J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O330" i="20"/>
  <c r="N330" i="20"/>
  <c r="M330" i="20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M312" i="20" s="1"/>
  <c r="P312" i="20" s="1"/>
  <c r="O313" i="20"/>
  <c r="O311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P291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N272" i="20"/>
  <c r="M272" i="20"/>
  <c r="L272" i="20"/>
  <c r="O272" i="20" s="1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O251" i="20"/>
  <c r="N251" i="20"/>
  <c r="M251" i="20"/>
  <c r="P251" i="20" s="1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O141" i="20"/>
  <c r="N141" i="20"/>
  <c r="M141" i="20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M96" i="20" s="1"/>
  <c r="P96" i="20" s="1"/>
  <c r="O97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P67" i="20"/>
  <c r="N67" i="20"/>
  <c r="M67" i="20"/>
  <c r="L67" i="20"/>
  <c r="J65" i="20"/>
  <c r="I65" i="20"/>
  <c r="J64" i="20"/>
  <c r="I64" i="20"/>
  <c r="N61" i="20"/>
  <c r="L61" i="20"/>
  <c r="L59" i="20"/>
  <c r="L58" i="20"/>
  <c r="N57" i="20"/>
  <c r="M57" i="20"/>
  <c r="O54" i="20"/>
  <c r="N54" i="20"/>
  <c r="M54" i="20"/>
  <c r="L54" i="20"/>
  <c r="N49" i="20"/>
  <c r="L49" i="20"/>
  <c r="O49" i="20" s="1"/>
  <c r="L47" i="20"/>
  <c r="L46" i="20"/>
  <c r="N45" i="20"/>
  <c r="M45" i="20"/>
  <c r="M43" i="20" s="1"/>
  <c r="P42" i="20"/>
  <c r="N42" i="20"/>
  <c r="M42" i="20"/>
  <c r="L42" i="20"/>
  <c r="P36" i="20"/>
  <c r="O36" i="20"/>
  <c r="P35" i="20"/>
  <c r="O35" i="20"/>
  <c r="M34" i="20"/>
  <c r="P34" i="20" s="1"/>
  <c r="P33" i="20"/>
  <c r="M33" i="20"/>
  <c r="M32" i="20"/>
  <c r="P32" i="20" s="1"/>
  <c r="P31" i="20"/>
  <c r="M31" i="20"/>
  <c r="M29" i="20" s="1"/>
  <c r="P29" i="20" s="1"/>
  <c r="O25" i="20"/>
  <c r="N25" i="20"/>
  <c r="N19" i="20" s="1"/>
  <c r="M25" i="20"/>
  <c r="L25" i="20"/>
  <c r="P24" i="20"/>
  <c r="N24" i="20"/>
  <c r="M24" i="20"/>
  <c r="N23" i="20"/>
  <c r="M23" i="20"/>
  <c r="O21" i="20"/>
  <c r="N21" i="20"/>
  <c r="M21" i="20"/>
  <c r="L21" i="20"/>
  <c r="O19" i="20"/>
  <c r="L19" i="20"/>
  <c r="N15" i="20"/>
  <c r="L15" i="20"/>
  <c r="O15" i="20" s="1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2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J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N272" i="19"/>
  <c r="M272" i="19"/>
  <c r="P272" i="19" s="1"/>
  <c r="L272" i="19"/>
  <c r="O272" i="19" s="1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P254" i="19" s="1"/>
  <c r="O253" i="19"/>
  <c r="P251" i="19"/>
  <c r="N251" i="19"/>
  <c r="M251" i="19"/>
  <c r="L251" i="19"/>
  <c r="O251" i="19" s="1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L226" i="19"/>
  <c r="L225" i="19"/>
  <c r="N224" i="19"/>
  <c r="M224" i="19"/>
  <c r="O223" i="19"/>
  <c r="O221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N141" i="19"/>
  <c r="M141" i="19"/>
  <c r="L141" i="19"/>
  <c r="O141" i="19" s="1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P120" i="19" s="1"/>
  <c r="O121" i="19"/>
  <c r="N119" i="19"/>
  <c r="M119" i="19"/>
  <c r="P119" i="19" s="1"/>
  <c r="L119" i="19"/>
  <c r="O119" i="19" s="1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O97" i="19"/>
  <c r="P95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O54" i="19"/>
  <c r="N54" i="19"/>
  <c r="M54" i="19"/>
  <c r="L54" i="19"/>
  <c r="N49" i="19"/>
  <c r="L49" i="19"/>
  <c r="O49" i="19" s="1"/>
  <c r="L47" i="19"/>
  <c r="L46" i="19"/>
  <c r="N45" i="19"/>
  <c r="M45" i="19"/>
  <c r="P42" i="19"/>
  <c r="O42" i="19"/>
  <c r="N42" i="19"/>
  <c r="M42" i="19"/>
  <c r="L42" i="19"/>
  <c r="P36" i="19"/>
  <c r="O36" i="19"/>
  <c r="P35" i="19"/>
  <c r="O35" i="19"/>
  <c r="M34" i="19"/>
  <c r="P34" i="19" s="1"/>
  <c r="P33" i="19"/>
  <c r="M33" i="19"/>
  <c r="M32" i="19"/>
  <c r="M31" i="19"/>
  <c r="P31" i="19" s="1"/>
  <c r="M29" i="19"/>
  <c r="N25" i="19"/>
  <c r="M25" i="19"/>
  <c r="P25" i="19" s="1"/>
  <c r="L25" i="19"/>
  <c r="O25" i="19" s="1"/>
  <c r="P24" i="19"/>
  <c r="N24" i="19"/>
  <c r="M24" i="19"/>
  <c r="P23" i="19"/>
  <c r="N23" i="19"/>
  <c r="M23" i="19"/>
  <c r="P21" i="19"/>
  <c r="N21" i="19"/>
  <c r="N19" i="19" s="1"/>
  <c r="M21" i="19"/>
  <c r="M19" i="19" s="1"/>
  <c r="L21" i="19"/>
  <c r="O21" i="19" s="1"/>
  <c r="P19" i="19"/>
  <c r="O19" i="19"/>
  <c r="L19" i="19"/>
  <c r="P15" i="19"/>
  <c r="O15" i="19"/>
  <c r="N15" i="19"/>
  <c r="M15" i="19"/>
  <c r="M9" i="19" s="1"/>
  <c r="L15" i="19"/>
  <c r="M14" i="19"/>
  <c r="P14" i="19" s="1"/>
  <c r="M13" i="19"/>
  <c r="P13" i="19" s="1"/>
  <c r="M11" i="19"/>
  <c r="P11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2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N330" i="18"/>
  <c r="M330" i="18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P314" i="18" s="1"/>
  <c r="O313" i="18"/>
  <c r="P311" i="18"/>
  <c r="N311" i="18"/>
  <c r="M311" i="18"/>
  <c r="L311" i="18"/>
  <c r="O311" i="18" s="1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P294" i="18" s="1"/>
  <c r="O293" i="18"/>
  <c r="O291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O272" i="18"/>
  <c r="N272" i="18"/>
  <c r="M272" i="18"/>
  <c r="P272" i="18" s="1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P54" i="18" s="1"/>
  <c r="L54" i="18"/>
  <c r="N49" i="18"/>
  <c r="L49" i="18"/>
  <c r="L47" i="18"/>
  <c r="L46" i="18"/>
  <c r="N45" i="18"/>
  <c r="M45" i="18"/>
  <c r="O42" i="18"/>
  <c r="N42" i="18"/>
  <c r="M42" i="18"/>
  <c r="L42" i="18"/>
  <c r="P36" i="18"/>
  <c r="O36" i="18"/>
  <c r="P35" i="18"/>
  <c r="O35" i="18"/>
  <c r="P34" i="18"/>
  <c r="M34" i="18"/>
  <c r="M33" i="18"/>
  <c r="P33" i="18" s="1"/>
  <c r="P32" i="18"/>
  <c r="M32" i="18"/>
  <c r="M30" i="18" s="1"/>
  <c r="M31" i="18"/>
  <c r="P31" i="18" s="1"/>
  <c r="P30" i="18"/>
  <c r="M29" i="18"/>
  <c r="M28" i="18" s="1"/>
  <c r="P28" i="18" s="1"/>
  <c r="P25" i="18"/>
  <c r="O25" i="18"/>
  <c r="N25" i="18"/>
  <c r="N15" i="18" s="1"/>
  <c r="M25" i="18"/>
  <c r="L25" i="18"/>
  <c r="L15" i="18" s="1"/>
  <c r="O15" i="18" s="1"/>
  <c r="N24" i="18"/>
  <c r="M24" i="18"/>
  <c r="P23" i="18"/>
  <c r="N23" i="18"/>
  <c r="M23" i="18"/>
  <c r="P21" i="18"/>
  <c r="O21" i="18"/>
  <c r="N21" i="18"/>
  <c r="M21" i="18"/>
  <c r="L21" i="18"/>
  <c r="M19" i="18"/>
  <c r="P19" i="18" s="1"/>
  <c r="L19" i="18"/>
  <c r="O19" i="18" s="1"/>
  <c r="P15" i="18"/>
  <c r="M15" i="18"/>
  <c r="M13" i="18"/>
  <c r="P13" i="18" s="1"/>
  <c r="M11" i="18"/>
  <c r="M9" i="18" s="1"/>
  <c r="P9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3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P292" i="17" s="1"/>
  <c r="O293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N272" i="17"/>
  <c r="M272" i="17"/>
  <c r="P272" i="17" s="1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L226" i="17"/>
  <c r="L225" i="17"/>
  <c r="N224" i="17"/>
  <c r="M224" i="17"/>
  <c r="M222" i="17" s="1"/>
  <c r="O223" i="17"/>
  <c r="N221" i="17"/>
  <c r="M221" i="17"/>
  <c r="P221" i="17" s="1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P95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N67" i="17"/>
  <c r="M67" i="17"/>
  <c r="P67" i="17" s="1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N54" i="17"/>
  <c r="M54" i="17"/>
  <c r="L54" i="17"/>
  <c r="O54" i="17" s="1"/>
  <c r="N49" i="17"/>
  <c r="L49" i="17"/>
  <c r="M49" i="17" s="1"/>
  <c r="L47" i="17"/>
  <c r="L46" i="17"/>
  <c r="N45" i="17"/>
  <c r="M45" i="17"/>
  <c r="P42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M30" i="17" s="1"/>
  <c r="P30" i="17" s="1"/>
  <c r="M31" i="17"/>
  <c r="M29" i="17" s="1"/>
  <c r="P29" i="17" s="1"/>
  <c r="M28" i="17"/>
  <c r="P28" i="17" s="1"/>
  <c r="O25" i="17"/>
  <c r="N25" i="17"/>
  <c r="M25" i="17"/>
  <c r="L25" i="17"/>
  <c r="P24" i="17"/>
  <c r="N24" i="17"/>
  <c r="M24" i="17"/>
  <c r="N23" i="17"/>
  <c r="M23" i="17"/>
  <c r="P23" i="17" s="1"/>
  <c r="P21" i="17"/>
  <c r="O21" i="17"/>
  <c r="N21" i="17"/>
  <c r="N19" i="17" s="1"/>
  <c r="M21" i="17"/>
  <c r="L21" i="17"/>
  <c r="M19" i="17"/>
  <c r="L19" i="17"/>
  <c r="N15" i="17"/>
  <c r="L15" i="17"/>
  <c r="O15" i="17" s="1"/>
  <c r="M14" i="17"/>
  <c r="P14" i="17" s="1"/>
  <c r="M13" i="17"/>
  <c r="P13" i="17" s="1"/>
  <c r="P11" i="17"/>
  <c r="M11" i="17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P292" i="16" s="1"/>
  <c r="O293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P67" i="16"/>
  <c r="O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M49" i="16" s="1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M34" i="16"/>
  <c r="P33" i="16"/>
  <c r="M33" i="16"/>
  <c r="P32" i="16"/>
  <c r="M32" i="16"/>
  <c r="M30" i="16" s="1"/>
  <c r="P30" i="16" s="1"/>
  <c r="M31" i="16"/>
  <c r="P31" i="16" s="1"/>
  <c r="N25" i="16"/>
  <c r="N15" i="16" s="1"/>
  <c r="M25" i="16"/>
  <c r="L25" i="16"/>
  <c r="O25" i="16" s="1"/>
  <c r="P24" i="16"/>
  <c r="N24" i="16"/>
  <c r="M24" i="16"/>
  <c r="P23" i="16"/>
  <c r="N23" i="16"/>
  <c r="M23" i="16"/>
  <c r="P21" i="16"/>
  <c r="O21" i="16"/>
  <c r="N21" i="16"/>
  <c r="N19" i="16" s="1"/>
  <c r="M21" i="16"/>
  <c r="L21" i="16"/>
  <c r="L19" i="16"/>
  <c r="O19" i="16" s="1"/>
  <c r="O15" i="16"/>
  <c r="L15" i="16"/>
  <c r="M13" i="16"/>
  <c r="P13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0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P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O311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P272" i="15"/>
  <c r="N272" i="15"/>
  <c r="M272" i="15"/>
  <c r="L272" i="15"/>
  <c r="O272" i="15" s="1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L221" i="15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N95" i="15"/>
  <c r="M95" i="15"/>
  <c r="L95" i="15"/>
  <c r="O95" i="15" s="1"/>
  <c r="J93" i="15"/>
  <c r="I93" i="15"/>
  <c r="J92" i="15"/>
  <c r="I92" i="15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P54" i="15"/>
  <c r="N54" i="15"/>
  <c r="M54" i="15"/>
  <c r="L54" i="15"/>
  <c r="O54" i="15" s="1"/>
  <c r="N49" i="15"/>
  <c r="L49" i="15"/>
  <c r="L47" i="15"/>
  <c r="L46" i="15"/>
  <c r="N45" i="15"/>
  <c r="M45" i="15"/>
  <c r="O42" i="15"/>
  <c r="N42" i="15"/>
  <c r="M42" i="15"/>
  <c r="P42" i="15" s="1"/>
  <c r="L42" i="15"/>
  <c r="P36" i="15"/>
  <c r="O36" i="15"/>
  <c r="P35" i="15"/>
  <c r="O35" i="15"/>
  <c r="P34" i="15"/>
  <c r="M34" i="15"/>
  <c r="M33" i="15"/>
  <c r="P33" i="15" s="1"/>
  <c r="P32" i="15"/>
  <c r="M32" i="15"/>
  <c r="P31" i="15"/>
  <c r="M31" i="15"/>
  <c r="M30" i="15"/>
  <c r="P30" i="15" s="1"/>
  <c r="M29" i="15"/>
  <c r="P29" i="15" s="1"/>
  <c r="P25" i="15"/>
  <c r="N25" i="15"/>
  <c r="M25" i="15"/>
  <c r="L25" i="15"/>
  <c r="O25" i="15" s="1"/>
  <c r="N24" i="15"/>
  <c r="M24" i="15"/>
  <c r="P24" i="15" s="1"/>
  <c r="P23" i="15"/>
  <c r="N23" i="15"/>
  <c r="M23" i="15"/>
  <c r="N21" i="15"/>
  <c r="M21" i="15"/>
  <c r="L21" i="15"/>
  <c r="O21" i="15" s="1"/>
  <c r="O19" i="15"/>
  <c r="N19" i="15"/>
  <c r="L19" i="15"/>
  <c r="N15" i="15"/>
  <c r="M15" i="15"/>
  <c r="P15" i="15" s="1"/>
  <c r="P14" i="15"/>
  <c r="M14" i="15"/>
  <c r="P13" i="15"/>
  <c r="M13" i="15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N272" i="14"/>
  <c r="M272" i="14"/>
  <c r="P272" i="14" s="1"/>
  <c r="L272" i="14"/>
  <c r="O272" i="14" s="1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N251" i="14"/>
  <c r="M251" i="14"/>
  <c r="L251" i="14"/>
  <c r="O251" i="14" s="1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P119" i="14" s="1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N95" i="14"/>
  <c r="M95" i="14"/>
  <c r="P95" i="14" s="1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O67" i="14"/>
  <c r="N67" i="14"/>
  <c r="M67" i="14"/>
  <c r="P67" i="14" s="1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M55" i="14" s="1"/>
  <c r="M53" i="14" s="1"/>
  <c r="P54" i="14"/>
  <c r="N54" i="14"/>
  <c r="M54" i="14"/>
  <c r="L54" i="14"/>
  <c r="O54" i="14" s="1"/>
  <c r="N49" i="14"/>
  <c r="L49" i="14"/>
  <c r="L47" i="14"/>
  <c r="L46" i="14"/>
  <c r="N45" i="14"/>
  <c r="M45" i="14"/>
  <c r="N42" i="14"/>
  <c r="M42" i="14"/>
  <c r="L42" i="14"/>
  <c r="P36" i="14"/>
  <c r="O36" i="14"/>
  <c r="P35" i="14"/>
  <c r="O35" i="14"/>
  <c r="M34" i="14"/>
  <c r="P34" i="14" s="1"/>
  <c r="P33" i="14"/>
  <c r="M33" i="14"/>
  <c r="P32" i="14"/>
  <c r="M32" i="14"/>
  <c r="M30" i="14" s="1"/>
  <c r="P30" i="14" s="1"/>
  <c r="M31" i="14"/>
  <c r="N25" i="14"/>
  <c r="M25" i="14"/>
  <c r="P25" i="14" s="1"/>
  <c r="L25" i="14"/>
  <c r="O25" i="14" s="1"/>
  <c r="P24" i="14"/>
  <c r="N24" i="14"/>
  <c r="M24" i="14"/>
  <c r="P23" i="14"/>
  <c r="N23" i="14"/>
  <c r="M23" i="14"/>
  <c r="P21" i="14"/>
  <c r="O21" i="14"/>
  <c r="N21" i="14"/>
  <c r="M21" i="14"/>
  <c r="M19" i="14" s="1"/>
  <c r="L21" i="14"/>
  <c r="L19" i="14"/>
  <c r="P14" i="14"/>
  <c r="M14" i="14"/>
  <c r="M13" i="14"/>
  <c r="P13" i="14" s="1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3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M331" i="13" s="1"/>
  <c r="O332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M271" i="13" s="1"/>
  <c r="O274" i="13"/>
  <c r="P272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N95" i="13"/>
  <c r="M95" i="13"/>
  <c r="L95" i="13"/>
  <c r="O95" i="13" s="1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M53" i="13" s="1"/>
  <c r="P54" i="13"/>
  <c r="N54" i="13"/>
  <c r="M54" i="13"/>
  <c r="L54" i="13"/>
  <c r="O54" i="13" s="1"/>
  <c r="N49" i="13"/>
  <c r="L49" i="13"/>
  <c r="L47" i="13"/>
  <c r="L46" i="13"/>
  <c r="N45" i="13"/>
  <c r="M45" i="13"/>
  <c r="O42" i="13"/>
  <c r="N42" i="13"/>
  <c r="M42" i="13"/>
  <c r="L42" i="13"/>
  <c r="P36" i="13"/>
  <c r="O36" i="13"/>
  <c r="P35" i="13"/>
  <c r="O35" i="13"/>
  <c r="P34" i="13"/>
  <c r="M34" i="13"/>
  <c r="M33" i="13"/>
  <c r="P33" i="13" s="1"/>
  <c r="P32" i="13"/>
  <c r="M32" i="13"/>
  <c r="M30" i="13" s="1"/>
  <c r="P30" i="13" s="1"/>
  <c r="M31" i="13"/>
  <c r="P25" i="13"/>
  <c r="N25" i="13"/>
  <c r="N15" i="13" s="1"/>
  <c r="M25" i="13"/>
  <c r="L25" i="13"/>
  <c r="O25" i="13" s="1"/>
  <c r="N24" i="13"/>
  <c r="M24" i="13"/>
  <c r="P23" i="13"/>
  <c r="N23" i="13"/>
  <c r="M23" i="13"/>
  <c r="P21" i="13"/>
  <c r="N21" i="13"/>
  <c r="M21" i="13"/>
  <c r="L21" i="13"/>
  <c r="P19" i="13"/>
  <c r="N19" i="13"/>
  <c r="M19" i="13"/>
  <c r="L19" i="13"/>
  <c r="M15" i="13"/>
  <c r="P15" i="13" s="1"/>
  <c r="M13" i="13"/>
  <c r="P13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N272" i="12"/>
  <c r="M272" i="12"/>
  <c r="L272" i="12"/>
  <c r="O272" i="12" s="1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P98" i="12" s="1"/>
  <c r="O97" i="12"/>
  <c r="P95" i="12"/>
  <c r="N95" i="12"/>
  <c r="M95" i="12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O67" i="12"/>
  <c r="N67" i="12"/>
  <c r="M67" i="12"/>
  <c r="P67" i="12" s="1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M55" i="12" s="1"/>
  <c r="P54" i="12"/>
  <c r="N54" i="12"/>
  <c r="M54" i="12"/>
  <c r="L54" i="12"/>
  <c r="O54" i="12" s="1"/>
  <c r="N49" i="12"/>
  <c r="L49" i="12"/>
  <c r="L47" i="12"/>
  <c r="L46" i="12"/>
  <c r="N45" i="12"/>
  <c r="M45" i="12"/>
  <c r="M43" i="12" s="1"/>
  <c r="O42" i="12"/>
  <c r="N42" i="12"/>
  <c r="M42" i="12"/>
  <c r="L42" i="12"/>
  <c r="P36" i="12"/>
  <c r="O36" i="12"/>
  <c r="P35" i="12"/>
  <c r="O35" i="12"/>
  <c r="M34" i="12"/>
  <c r="P34" i="12" s="1"/>
  <c r="M33" i="12"/>
  <c r="P33" i="12" s="1"/>
  <c r="P32" i="12"/>
  <c r="M32" i="12"/>
  <c r="M31" i="12"/>
  <c r="P31" i="12" s="1"/>
  <c r="P30" i="12"/>
  <c r="M30" i="12"/>
  <c r="M29" i="12"/>
  <c r="N25" i="12"/>
  <c r="N15" i="12" s="1"/>
  <c r="M25" i="12"/>
  <c r="P25" i="12" s="1"/>
  <c r="L25" i="12"/>
  <c r="O25" i="12" s="1"/>
  <c r="N24" i="12"/>
  <c r="M24" i="12"/>
  <c r="P24" i="12" s="1"/>
  <c r="P23" i="12"/>
  <c r="N23" i="12"/>
  <c r="M23" i="12"/>
  <c r="P21" i="12"/>
  <c r="N21" i="12"/>
  <c r="N19" i="12" s="1"/>
  <c r="M21" i="12"/>
  <c r="L21" i="12"/>
  <c r="O21" i="12" s="1"/>
  <c r="M19" i="12"/>
  <c r="P19" i="12" s="1"/>
  <c r="L19" i="12"/>
  <c r="O19" i="12" s="1"/>
  <c r="M15" i="12"/>
  <c r="P15" i="12" s="1"/>
  <c r="L15" i="12"/>
  <c r="O15" i="12" s="1"/>
  <c r="M13" i="12"/>
  <c r="P13" i="12" s="1"/>
  <c r="M11" i="12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N311" i="11"/>
  <c r="M311" i="11"/>
  <c r="P311" i="11" s="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M102" i="11" s="1"/>
  <c r="L100" i="11"/>
  <c r="L99" i="11"/>
  <c r="N98" i="11"/>
  <c r="M98" i="11"/>
  <c r="O97" i="11"/>
  <c r="P95" i="11"/>
  <c r="N95" i="11"/>
  <c r="M95" i="1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M53" i="11" s="1"/>
  <c r="P54" i="11"/>
  <c r="N54" i="11"/>
  <c r="M54" i="11"/>
  <c r="L54" i="11"/>
  <c r="N49" i="11"/>
  <c r="L49" i="11"/>
  <c r="L47" i="11"/>
  <c r="L46" i="11"/>
  <c r="N45" i="11"/>
  <c r="M45" i="11"/>
  <c r="N42" i="11"/>
  <c r="M42" i="11"/>
  <c r="L42" i="11"/>
  <c r="O42" i="11" s="1"/>
  <c r="P36" i="11"/>
  <c r="O36" i="11"/>
  <c r="P35" i="11"/>
  <c r="O35" i="11"/>
  <c r="P34" i="11"/>
  <c r="M34" i="11"/>
  <c r="M33" i="11"/>
  <c r="P32" i="11"/>
  <c r="M32" i="11"/>
  <c r="M30" i="11" s="1"/>
  <c r="P30" i="11" s="1"/>
  <c r="M31" i="11"/>
  <c r="P31" i="11" s="1"/>
  <c r="M29" i="11"/>
  <c r="P25" i="11"/>
  <c r="N25" i="11"/>
  <c r="N15" i="11" s="1"/>
  <c r="M25" i="11"/>
  <c r="L25" i="11"/>
  <c r="N24" i="11"/>
  <c r="M24" i="11"/>
  <c r="P23" i="11"/>
  <c r="N23" i="11"/>
  <c r="M23" i="11"/>
  <c r="P21" i="11"/>
  <c r="N21" i="11"/>
  <c r="M21" i="11"/>
  <c r="L21" i="11"/>
  <c r="N19" i="11"/>
  <c r="M19" i="11"/>
  <c r="P19" i="11" s="1"/>
  <c r="M15" i="11"/>
  <c r="P15" i="11" s="1"/>
  <c r="M11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N553" i="10"/>
  <c r="L553" i="10"/>
  <c r="O553" i="10" s="1"/>
  <c r="N552" i="10"/>
  <c r="L552" i="10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O253" i="10"/>
  <c r="P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P120" i="10" s="1"/>
  <c r="O121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P95" i="10"/>
  <c r="N95" i="10"/>
  <c r="M95" i="10"/>
  <c r="L95" i="10"/>
  <c r="J93" i="10"/>
  <c r="I93" i="10"/>
  <c r="J92" i="10"/>
  <c r="I92" i="10"/>
  <c r="J90" i="10"/>
  <c r="J89" i="10"/>
  <c r="J88" i="10"/>
  <c r="I88" i="10"/>
  <c r="K88" i="10" s="1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O69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M53" i="10" s="1"/>
  <c r="P54" i="10"/>
  <c r="N54" i="10"/>
  <c r="M54" i="10"/>
  <c r="L54" i="10"/>
  <c r="N49" i="10"/>
  <c r="L49" i="10"/>
  <c r="L47" i="10"/>
  <c r="L46" i="10"/>
  <c r="N45" i="10"/>
  <c r="M45" i="10"/>
  <c r="N42" i="10"/>
  <c r="M42" i="10"/>
  <c r="L42" i="10"/>
  <c r="P36" i="10"/>
  <c r="O36" i="10"/>
  <c r="P35" i="10"/>
  <c r="O35" i="10"/>
  <c r="P34" i="10"/>
  <c r="M34" i="10"/>
  <c r="M33" i="10"/>
  <c r="P33" i="10" s="1"/>
  <c r="P32" i="10"/>
  <c r="M32" i="10"/>
  <c r="P31" i="10"/>
  <c r="M31" i="10"/>
  <c r="P30" i="10"/>
  <c r="M30" i="10"/>
  <c r="P29" i="10"/>
  <c r="M29" i="10"/>
  <c r="M28" i="10"/>
  <c r="P28" i="10" s="1"/>
  <c r="P25" i="10"/>
  <c r="O25" i="10"/>
  <c r="N25" i="10"/>
  <c r="M25" i="10"/>
  <c r="L25" i="10"/>
  <c r="N24" i="10"/>
  <c r="M24" i="10"/>
  <c r="P23" i="10"/>
  <c r="N23" i="10"/>
  <c r="M23" i="10"/>
  <c r="P21" i="10"/>
  <c r="N21" i="10"/>
  <c r="M21" i="10"/>
  <c r="L21" i="10"/>
  <c r="N19" i="10"/>
  <c r="M19" i="10"/>
  <c r="N15" i="10"/>
  <c r="M15" i="10"/>
  <c r="P15" i="10" s="1"/>
  <c r="L15" i="10"/>
  <c r="O15" i="10" s="1"/>
  <c r="M13" i="10"/>
  <c r="P13" i="10" s="1"/>
  <c r="P11" i="10"/>
  <c r="M11" i="10"/>
  <c r="P9" i="10"/>
  <c r="M9" i="10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4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N330" i="9"/>
  <c r="M330" i="9"/>
  <c r="P330" i="9" s="1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O272" i="9"/>
  <c r="N272" i="9"/>
  <c r="M272" i="9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P95" i="9" s="1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M74" i="9" s="1"/>
  <c r="L72" i="9"/>
  <c r="L71" i="9"/>
  <c r="N70" i="9"/>
  <c r="M70" i="9"/>
  <c r="O69" i="9"/>
  <c r="O67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P54" i="9"/>
  <c r="N54" i="9"/>
  <c r="M54" i="9"/>
  <c r="L54" i="9"/>
  <c r="O54" i="9" s="1"/>
  <c r="N49" i="9"/>
  <c r="L49" i="9"/>
  <c r="L47" i="9"/>
  <c r="L46" i="9"/>
  <c r="N45" i="9"/>
  <c r="M45" i="9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M32" i="9"/>
  <c r="P32" i="9" s="1"/>
  <c r="M31" i="9"/>
  <c r="P31" i="9" s="1"/>
  <c r="P29" i="9"/>
  <c r="M29" i="9"/>
  <c r="P25" i="9"/>
  <c r="O25" i="9"/>
  <c r="N25" i="9"/>
  <c r="M25" i="9"/>
  <c r="L25" i="9"/>
  <c r="N24" i="9"/>
  <c r="M24" i="9"/>
  <c r="P24" i="9" s="1"/>
  <c r="N23" i="9"/>
  <c r="M23" i="9"/>
  <c r="P23" i="9" s="1"/>
  <c r="P21" i="9"/>
  <c r="N21" i="9"/>
  <c r="M21" i="9"/>
  <c r="L21" i="9"/>
  <c r="L19" i="9" s="1"/>
  <c r="M19" i="9"/>
  <c r="P19" i="9" s="1"/>
  <c r="O15" i="9"/>
  <c r="N15" i="9"/>
  <c r="M15" i="9"/>
  <c r="P15" i="9" s="1"/>
  <c r="L15" i="9"/>
  <c r="M14" i="9"/>
  <c r="P14" i="9" s="1"/>
  <c r="P11" i="9"/>
  <c r="M11" i="9"/>
  <c r="M9" i="9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P272" i="8" s="1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P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P96" i="8" s="1"/>
  <c r="O97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O54" i="8"/>
  <c r="N54" i="8"/>
  <c r="M54" i="8"/>
  <c r="L54" i="8"/>
  <c r="N49" i="8"/>
  <c r="L49" i="8"/>
  <c r="M49" i="8" s="1"/>
  <c r="L47" i="8"/>
  <c r="L46" i="8"/>
  <c r="N45" i="8"/>
  <c r="M45" i="8"/>
  <c r="P42" i="8"/>
  <c r="O42" i="8"/>
  <c r="N42" i="8"/>
  <c r="M42" i="8"/>
  <c r="L42" i="8"/>
  <c r="P36" i="8"/>
  <c r="O36" i="8"/>
  <c r="P35" i="8"/>
  <c r="O35" i="8"/>
  <c r="P34" i="8"/>
  <c r="M34" i="8"/>
  <c r="M33" i="8"/>
  <c r="P33" i="8" s="1"/>
  <c r="M32" i="8"/>
  <c r="P32" i="8" s="1"/>
  <c r="P31" i="8"/>
  <c r="M31" i="8"/>
  <c r="M30" i="8"/>
  <c r="P30" i="8" s="1"/>
  <c r="P29" i="8"/>
  <c r="M29" i="8"/>
  <c r="M28" i="8" s="1"/>
  <c r="P28" i="8" s="1"/>
  <c r="O25" i="8"/>
  <c r="N25" i="8"/>
  <c r="M25" i="8"/>
  <c r="P25" i="8" s="1"/>
  <c r="L25" i="8"/>
  <c r="P24" i="8"/>
  <c r="N24" i="8"/>
  <c r="M24" i="8"/>
  <c r="N23" i="8"/>
  <c r="M23" i="8"/>
  <c r="P23" i="8" s="1"/>
  <c r="P21" i="8"/>
  <c r="O21" i="8"/>
  <c r="N21" i="8"/>
  <c r="M21" i="8"/>
  <c r="L21" i="8"/>
  <c r="L19" i="8" s="1"/>
  <c r="N19" i="8"/>
  <c r="N15" i="8"/>
  <c r="L15" i="8"/>
  <c r="O15" i="8" s="1"/>
  <c r="M14" i="8"/>
  <c r="P14" i="8" s="1"/>
  <c r="P11" i="8"/>
  <c r="M11" i="8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P141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P95" i="7"/>
  <c r="O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M14" i="7" s="1"/>
  <c r="P14" i="7" s="1"/>
  <c r="P33" i="7"/>
  <c r="M33" i="7"/>
  <c r="P32" i="7"/>
  <c r="M32" i="7"/>
  <c r="P31" i="7"/>
  <c r="M31" i="7"/>
  <c r="M29" i="7" s="1"/>
  <c r="M30" i="7"/>
  <c r="P30" i="7" s="1"/>
  <c r="O25" i="7"/>
  <c r="N25" i="7"/>
  <c r="M25" i="7"/>
  <c r="P25" i="7" s="1"/>
  <c r="L25" i="7"/>
  <c r="N24" i="7"/>
  <c r="M24" i="7"/>
  <c r="P24" i="7" s="1"/>
  <c r="P23" i="7"/>
  <c r="N23" i="7"/>
  <c r="M23" i="7"/>
  <c r="N21" i="7"/>
  <c r="N19" i="7" s="1"/>
  <c r="M21" i="7"/>
  <c r="P21" i="7" s="1"/>
  <c r="L21" i="7"/>
  <c r="O21" i="7" s="1"/>
  <c r="O19" i="7"/>
  <c r="M19" i="7"/>
  <c r="P19" i="7" s="1"/>
  <c r="L19" i="7"/>
  <c r="N15" i="7"/>
  <c r="L15" i="7"/>
  <c r="O15" i="7" s="1"/>
  <c r="M13" i="7"/>
  <c r="P13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1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N330" i="6"/>
  <c r="M330" i="6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N311" i="6"/>
  <c r="M311" i="6"/>
  <c r="L311" i="6"/>
  <c r="O311" i="6" s="1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P291" i="6" s="1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P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P119" i="6"/>
  <c r="N119" i="6"/>
  <c r="M119" i="6"/>
  <c r="L119" i="6"/>
  <c r="O119" i="6" s="1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P95" i="6"/>
  <c r="O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O67" i="6"/>
  <c r="N67" i="6"/>
  <c r="M67" i="6"/>
  <c r="P67" i="6" s="1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M53" i="6" s="1"/>
  <c r="P54" i="6"/>
  <c r="N54" i="6"/>
  <c r="M54" i="6"/>
  <c r="L54" i="6"/>
  <c r="O54" i="6" s="1"/>
  <c r="N49" i="6"/>
  <c r="L49" i="6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P34" i="6"/>
  <c r="M34" i="6"/>
  <c r="M33" i="6"/>
  <c r="P33" i="6" s="1"/>
  <c r="P32" i="6"/>
  <c r="M32" i="6"/>
  <c r="M31" i="6"/>
  <c r="P31" i="6" s="1"/>
  <c r="P30" i="6"/>
  <c r="M30" i="6"/>
  <c r="M29" i="6"/>
  <c r="P25" i="6"/>
  <c r="N25" i="6"/>
  <c r="N19" i="6" s="1"/>
  <c r="M25" i="6"/>
  <c r="L25" i="6"/>
  <c r="N24" i="6"/>
  <c r="M24" i="6"/>
  <c r="P24" i="6" s="1"/>
  <c r="P23" i="6"/>
  <c r="N23" i="6"/>
  <c r="M23" i="6"/>
  <c r="P21" i="6"/>
  <c r="N21" i="6"/>
  <c r="M21" i="6"/>
  <c r="M19" i="6" s="1"/>
  <c r="L21" i="6"/>
  <c r="O21" i="6" s="1"/>
  <c r="M15" i="6"/>
  <c r="P15" i="6" s="1"/>
  <c r="M13" i="6"/>
  <c r="P13" i="6" s="1"/>
  <c r="M11" i="6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O69" i="5"/>
  <c r="O67" i="5"/>
  <c r="N67" i="5"/>
  <c r="M67" i="5"/>
  <c r="P67" i="5" s="1"/>
  <c r="L67" i="5"/>
  <c r="J65" i="5"/>
  <c r="I65" i="5"/>
  <c r="J64" i="5"/>
  <c r="I64" i="5"/>
  <c r="N61" i="5"/>
  <c r="L61" i="5"/>
  <c r="O61" i="5" s="1"/>
  <c r="L59" i="5"/>
  <c r="L58" i="5"/>
  <c r="N57" i="5"/>
  <c r="M57" i="5"/>
  <c r="M55" i="5" s="1"/>
  <c r="M53" i="5" s="1"/>
  <c r="P54" i="5"/>
  <c r="N54" i="5"/>
  <c r="M54" i="5"/>
  <c r="L54" i="5"/>
  <c r="O54" i="5" s="1"/>
  <c r="N49" i="5"/>
  <c r="L49" i="5"/>
  <c r="M49" i="5" s="1"/>
  <c r="L47" i="5"/>
  <c r="L46" i="5"/>
  <c r="N45" i="5"/>
  <c r="M45" i="5"/>
  <c r="N42" i="5"/>
  <c r="M42" i="5"/>
  <c r="P42" i="5" s="1"/>
  <c r="L42" i="5"/>
  <c r="O42" i="5" s="1"/>
  <c r="P36" i="5"/>
  <c r="O36" i="5"/>
  <c r="P35" i="5"/>
  <c r="O35" i="5"/>
  <c r="P34" i="5"/>
  <c r="M34" i="5"/>
  <c r="M33" i="5"/>
  <c r="P33" i="5" s="1"/>
  <c r="P32" i="5"/>
  <c r="M32" i="5"/>
  <c r="M31" i="5"/>
  <c r="P30" i="5"/>
  <c r="M30" i="5"/>
  <c r="P25" i="5"/>
  <c r="N25" i="5"/>
  <c r="M25" i="5"/>
  <c r="L25" i="5"/>
  <c r="O25" i="5" s="1"/>
  <c r="N24" i="5"/>
  <c r="M24" i="5"/>
  <c r="P24" i="5" s="1"/>
  <c r="P23" i="5"/>
  <c r="N23" i="5"/>
  <c r="M23" i="5"/>
  <c r="P21" i="5"/>
  <c r="N21" i="5"/>
  <c r="M21" i="5"/>
  <c r="M19" i="5" s="1"/>
  <c r="L21" i="5"/>
  <c r="O21" i="5" s="1"/>
  <c r="L19" i="5"/>
  <c r="M15" i="5"/>
  <c r="P15" i="5" s="1"/>
  <c r="M13" i="5"/>
  <c r="P13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3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J509" i="4"/>
  <c r="I509" i="4"/>
  <c r="K509" i="4" s="1"/>
  <c r="J508" i="4"/>
  <c r="I508" i="4"/>
  <c r="K508" i="4" s="1"/>
  <c r="J507" i="4"/>
  <c r="I507" i="4"/>
  <c r="K507" i="4" s="1"/>
  <c r="J506" i="4"/>
  <c r="I506" i="4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J323" i="4"/>
  <c r="J322" i="4"/>
  <c r="J321" i="4"/>
  <c r="J320" i="4"/>
  <c r="N318" i="4"/>
  <c r="L318" i="4"/>
  <c r="L316" i="4"/>
  <c r="L315" i="4"/>
  <c r="N314" i="4"/>
  <c r="M314" i="4"/>
  <c r="O313" i="4"/>
  <c r="P311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L272" i="4"/>
  <c r="O272" i="4" s="1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N251" i="4"/>
  <c r="M251" i="4"/>
  <c r="P251" i="4" s="1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N141" i="4"/>
  <c r="M141" i="4"/>
  <c r="P141" i="4" s="1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N119" i="4"/>
  <c r="M119" i="4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M96" i="4" s="1"/>
  <c r="P96" i="4" s="1"/>
  <c r="O97" i="4"/>
  <c r="N95" i="4"/>
  <c r="M95" i="4"/>
  <c r="P95" i="4" s="1"/>
  <c r="L95" i="4"/>
  <c r="O95" i="4" s="1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N67" i="4"/>
  <c r="M67" i="4"/>
  <c r="P67" i="4" s="1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N54" i="4"/>
  <c r="M54" i="4"/>
  <c r="P54" i="4" s="1"/>
  <c r="L54" i="4"/>
  <c r="O54" i="4" s="1"/>
  <c r="N49" i="4"/>
  <c r="L49" i="4"/>
  <c r="L47" i="4"/>
  <c r="L46" i="4"/>
  <c r="N45" i="4"/>
  <c r="M45" i="4"/>
  <c r="O42" i="4"/>
  <c r="N42" i="4"/>
  <c r="M42" i="4"/>
  <c r="L42" i="4"/>
  <c r="P36" i="4"/>
  <c r="O36" i="4"/>
  <c r="P35" i="4"/>
  <c r="O35" i="4"/>
  <c r="P34" i="4"/>
  <c r="M34" i="4"/>
  <c r="M33" i="4"/>
  <c r="P33" i="4" s="1"/>
  <c r="M32" i="4"/>
  <c r="M30" i="4" s="1"/>
  <c r="P30" i="4" s="1"/>
  <c r="P31" i="4"/>
  <c r="M31" i="4"/>
  <c r="M29" i="4" s="1"/>
  <c r="P25" i="4"/>
  <c r="O25" i="4"/>
  <c r="N25" i="4"/>
  <c r="M25" i="4"/>
  <c r="L25" i="4"/>
  <c r="N24" i="4"/>
  <c r="M24" i="4"/>
  <c r="N23" i="4"/>
  <c r="M23" i="4"/>
  <c r="P23" i="4" s="1"/>
  <c r="N21" i="4"/>
  <c r="M21" i="4"/>
  <c r="P21" i="4" s="1"/>
  <c r="L21" i="4"/>
  <c r="N19" i="4"/>
  <c r="N15" i="4"/>
  <c r="M15" i="4"/>
  <c r="P15" i="4" s="1"/>
  <c r="L15" i="4"/>
  <c r="O15" i="4" s="1"/>
  <c r="M11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3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J499" i="3"/>
  <c r="I499" i="3"/>
  <c r="J498" i="3"/>
  <c r="I498" i="3"/>
  <c r="J497" i="3"/>
  <c r="I497" i="3"/>
  <c r="J496" i="3"/>
  <c r="I496" i="3"/>
  <c r="J495" i="3"/>
  <c r="I495" i="3"/>
  <c r="J494" i="3"/>
  <c r="I494" i="3"/>
  <c r="K494" i="3" s="1"/>
  <c r="J493" i="3"/>
  <c r="I493" i="3"/>
  <c r="K493" i="3" s="1"/>
  <c r="J492" i="3"/>
  <c r="I492" i="3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J482" i="3"/>
  <c r="I482" i="3"/>
  <c r="J481" i="3"/>
  <c r="I481" i="3"/>
  <c r="J480" i="3"/>
  <c r="I480" i="3"/>
  <c r="J479" i="3"/>
  <c r="I479" i="3"/>
  <c r="K479" i="3" s="1"/>
  <c r="J478" i="3"/>
  <c r="I478" i="3"/>
  <c r="K478" i="3" s="1"/>
  <c r="J477" i="3"/>
  <c r="I477" i="3"/>
  <c r="K477" i="3" s="1"/>
  <c r="J476" i="3"/>
  <c r="I476" i="3"/>
  <c r="J475" i="3"/>
  <c r="I475" i="3"/>
  <c r="J474" i="3"/>
  <c r="I474" i="3"/>
  <c r="J473" i="3"/>
  <c r="I473" i="3"/>
  <c r="J472" i="3"/>
  <c r="I472" i="3"/>
  <c r="J471" i="3"/>
  <c r="I471" i="3"/>
  <c r="J470" i="3"/>
  <c r="I470" i="3"/>
  <c r="K470" i="3" s="1"/>
  <c r="J469" i="3"/>
  <c r="I469" i="3"/>
  <c r="J468" i="3"/>
  <c r="I468" i="3"/>
  <c r="J467" i="3"/>
  <c r="I467" i="3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O291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P252" i="3" s="1"/>
  <c r="O253" i="3"/>
  <c r="N251" i="3"/>
  <c r="M251" i="3"/>
  <c r="P251" i="3" s="1"/>
  <c r="L251" i="3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N141" i="3"/>
  <c r="M141" i="3"/>
  <c r="P141" i="3" s="1"/>
  <c r="L141" i="3"/>
  <c r="L141" i="1" s="1"/>
  <c r="O141" i="1" s="1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M119" i="1" s="1"/>
  <c r="P119" i="1" s="1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O49" i="3" s="1"/>
  <c r="L47" i="3"/>
  <c r="L46" i="3"/>
  <c r="N45" i="3"/>
  <c r="M45" i="3"/>
  <c r="O42" i="3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M32" i="3"/>
  <c r="P32" i="3" s="1"/>
  <c r="P31" i="3"/>
  <c r="M31" i="3"/>
  <c r="M30" i="3"/>
  <c r="P30" i="3" s="1"/>
  <c r="M29" i="3"/>
  <c r="P29" i="3" s="1"/>
  <c r="N25" i="3"/>
  <c r="M25" i="3"/>
  <c r="P25" i="3" s="1"/>
  <c r="L25" i="3"/>
  <c r="O25" i="3" s="1"/>
  <c r="N24" i="3"/>
  <c r="M24" i="3"/>
  <c r="P24" i="3" s="1"/>
  <c r="N23" i="3"/>
  <c r="M23" i="3"/>
  <c r="P23" i="3" s="1"/>
  <c r="N21" i="3"/>
  <c r="M21" i="3"/>
  <c r="P21" i="3" s="1"/>
  <c r="L21" i="3"/>
  <c r="L19" i="3" s="1"/>
  <c r="N15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N291" i="2"/>
  <c r="M291" i="2"/>
  <c r="P291" i="2" s="1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O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O221" i="2"/>
  <c r="N221" i="2"/>
  <c r="M221" i="2"/>
  <c r="M221" i="1" s="1"/>
  <c r="P221" i="1" s="1"/>
  <c r="L221" i="2"/>
  <c r="J219" i="2"/>
  <c r="I219" i="2"/>
  <c r="J218" i="2"/>
  <c r="J217" i="2"/>
  <c r="J216" i="2"/>
  <c r="I216" i="2"/>
  <c r="K216" i="2" s="1"/>
  <c r="J215" i="2"/>
  <c r="I215" i="2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K113" i="2" s="1"/>
  <c r="J112" i="2"/>
  <c r="I112" i="2"/>
  <c r="J111" i="2"/>
  <c r="I111" i="2"/>
  <c r="K111" i="2" s="1"/>
  <c r="J110" i="2"/>
  <c r="I110" i="2"/>
  <c r="K110" i="2" s="1"/>
  <c r="J109" i="2"/>
  <c r="I109" i="2"/>
  <c r="K109" i="2" s="1"/>
  <c r="J108" i="2"/>
  <c r="I108" i="2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J85" i="2"/>
  <c r="I85" i="2"/>
  <c r="K85" i="2" s="1"/>
  <c r="J84" i="2"/>
  <c r="I84" i="2"/>
  <c r="K84" i="2" s="1"/>
  <c r="J83" i="2"/>
  <c r="I83" i="2"/>
  <c r="K83" i="2" s="1"/>
  <c r="J82" i="2"/>
  <c r="I82" i="2"/>
  <c r="J81" i="2"/>
  <c r="I81" i="2"/>
  <c r="J80" i="2"/>
  <c r="I80" i="2"/>
  <c r="K80" i="2" s="1"/>
  <c r="J79" i="2"/>
  <c r="J78" i="2"/>
  <c r="J77" i="2"/>
  <c r="J76" i="2"/>
  <c r="N74" i="2"/>
  <c r="L74" i="2"/>
  <c r="L72" i="2"/>
  <c r="L71" i="2"/>
  <c r="N70" i="2"/>
  <c r="M70" i="2"/>
  <c r="P70" i="2" s="1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O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P30" i="2"/>
  <c r="M30" i="2"/>
  <c r="M29" i="2"/>
  <c r="P29" i="2" s="1"/>
  <c r="N25" i="2"/>
  <c r="M25" i="2"/>
  <c r="P25" i="2" s="1"/>
  <c r="L25" i="2"/>
  <c r="O25" i="2" s="1"/>
  <c r="N24" i="2"/>
  <c r="M24" i="2"/>
  <c r="P24" i="2" s="1"/>
  <c r="N23" i="2"/>
  <c r="M23" i="2"/>
  <c r="P23" i="2" s="1"/>
  <c r="P21" i="2"/>
  <c r="N21" i="2"/>
  <c r="M21" i="2"/>
  <c r="M19" i="2" s="1"/>
  <c r="L21" i="2"/>
  <c r="L19" i="2" s="1"/>
  <c r="N15" i="2"/>
  <c r="M14" i="2"/>
  <c r="P14" i="2" s="1"/>
  <c r="P13" i="2"/>
  <c r="M13" i="2"/>
  <c r="M11" i="2"/>
  <c r="P11" i="2" s="1"/>
  <c r="J563" i="1"/>
  <c r="I563" i="1"/>
  <c r="J562" i="1"/>
  <c r="I562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N313" i="1"/>
  <c r="M313" i="1"/>
  <c r="L313" i="1"/>
  <c r="O313" i="1" s="1"/>
  <c r="O311" i="1"/>
  <c r="N311" i="1"/>
  <c r="M311" i="1"/>
  <c r="P311" i="1" s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N274" i="1"/>
  <c r="M274" i="1"/>
  <c r="L274" i="1"/>
  <c r="O274" i="1" s="1"/>
  <c r="O272" i="1"/>
  <c r="N272" i="1"/>
  <c r="M272" i="1"/>
  <c r="P272" i="1" s="1"/>
  <c r="L272" i="1"/>
  <c r="L257" i="1"/>
  <c r="O253" i="1"/>
  <c r="N253" i="1"/>
  <c r="M253" i="1"/>
  <c r="L253" i="1"/>
  <c r="P251" i="1"/>
  <c r="O251" i="1"/>
  <c r="N251" i="1"/>
  <c r="M251" i="1"/>
  <c r="L251" i="1"/>
  <c r="J240" i="1"/>
  <c r="L227" i="1"/>
  <c r="O223" i="1"/>
  <c r="N223" i="1"/>
  <c r="M223" i="1"/>
  <c r="L223" i="1"/>
  <c r="O221" i="1"/>
  <c r="N221" i="1"/>
  <c r="L221" i="1"/>
  <c r="J214" i="1"/>
  <c r="I214" i="1"/>
  <c r="J198" i="1"/>
  <c r="L147" i="1"/>
  <c r="O143" i="1"/>
  <c r="N143" i="1"/>
  <c r="M143" i="1"/>
  <c r="L143" i="1"/>
  <c r="N141" i="1"/>
  <c r="M141" i="1"/>
  <c r="P141" i="1" s="1"/>
  <c r="L125" i="1"/>
  <c r="N121" i="1"/>
  <c r="N21" i="1" s="1"/>
  <c r="M121" i="1"/>
  <c r="L121" i="1"/>
  <c r="O121" i="1" s="1"/>
  <c r="O119" i="1"/>
  <c r="N119" i="1"/>
  <c r="L119" i="1"/>
  <c r="L101" i="1"/>
  <c r="O97" i="1"/>
  <c r="N97" i="1"/>
  <c r="M97" i="1"/>
  <c r="L97" i="1"/>
  <c r="O95" i="1"/>
  <c r="M95" i="1"/>
  <c r="P95" i="1" s="1"/>
  <c r="L95" i="1"/>
  <c r="L73" i="1"/>
  <c r="O69" i="1"/>
  <c r="N69" i="1"/>
  <c r="M69" i="1"/>
  <c r="L69" i="1"/>
  <c r="P67" i="1"/>
  <c r="N67" i="1"/>
  <c r="M67" i="1"/>
  <c r="L67" i="1"/>
  <c r="O67" i="1" s="1"/>
  <c r="L60" i="1"/>
  <c r="L56" i="1"/>
  <c r="L54" i="1" s="1"/>
  <c r="N54" i="1"/>
  <c r="M54" i="1"/>
  <c r="P54" i="1" s="1"/>
  <c r="L48" i="1"/>
  <c r="L25" i="1" s="1"/>
  <c r="L44" i="1"/>
  <c r="L42" i="1" s="1"/>
  <c r="P42" i="1"/>
  <c r="N42" i="1"/>
  <c r="M42" i="1"/>
  <c r="P36" i="1"/>
  <c r="O36" i="1"/>
  <c r="P35" i="1"/>
  <c r="O35" i="1"/>
  <c r="M34" i="1"/>
  <c r="P34" i="1" s="1"/>
  <c r="P33" i="1"/>
  <c r="M33" i="1"/>
  <c r="M32" i="1"/>
  <c r="P32" i="1" s="1"/>
  <c r="P31" i="1"/>
  <c r="M31" i="1"/>
  <c r="M29" i="1"/>
  <c r="P29" i="1" s="1"/>
  <c r="N25" i="1"/>
  <c r="M25" i="1"/>
  <c r="P25" i="1" s="1"/>
  <c r="P24" i="1"/>
  <c r="N24" i="1"/>
  <c r="M24" i="1"/>
  <c r="N23" i="1"/>
  <c r="M23" i="1"/>
  <c r="P23" i="1" s="1"/>
  <c r="M21" i="1"/>
  <c r="M19" i="1" s="1"/>
  <c r="N15" i="1"/>
  <c r="M14" i="1"/>
  <c r="P14" i="1" s="1"/>
  <c r="K632" i="21" l="1"/>
  <c r="K417" i="18"/>
  <c r="K421" i="18"/>
  <c r="O437" i="18"/>
  <c r="K455" i="18"/>
  <c r="K464" i="18"/>
  <c r="K632" i="6"/>
  <c r="N120" i="7"/>
  <c r="N118" i="7" s="1"/>
  <c r="K111" i="21"/>
  <c r="K466" i="21"/>
  <c r="K380" i="12"/>
  <c r="O383" i="12"/>
  <c r="K430" i="12"/>
  <c r="O459" i="12"/>
  <c r="K108" i="17"/>
  <c r="K186" i="17"/>
  <c r="O599" i="17"/>
  <c r="K633" i="17"/>
  <c r="K380" i="18"/>
  <c r="K397" i="18"/>
  <c r="O401" i="18"/>
  <c r="K418" i="18"/>
  <c r="K426" i="18"/>
  <c r="N292" i="6"/>
  <c r="N290" i="6" s="1"/>
  <c r="K112" i="5"/>
  <c r="K498" i="5"/>
  <c r="L122" i="21"/>
  <c r="O122" i="21" s="1"/>
  <c r="K380" i="19"/>
  <c r="K370" i="21"/>
  <c r="K396" i="21"/>
  <c r="K401" i="21"/>
  <c r="K421" i="21"/>
  <c r="K425" i="21"/>
  <c r="O437" i="21"/>
  <c r="K464" i="21"/>
  <c r="K562" i="21"/>
  <c r="K580" i="21"/>
  <c r="K634" i="21"/>
  <c r="O385" i="7"/>
  <c r="N292" i="9"/>
  <c r="N290" i="9" s="1"/>
  <c r="K350" i="19"/>
  <c r="O404" i="5"/>
  <c r="N43" i="12"/>
  <c r="N41" i="12" s="1"/>
  <c r="N312" i="12"/>
  <c r="N310" i="12" s="1"/>
  <c r="K597" i="18"/>
  <c r="N43" i="5"/>
  <c r="N41" i="5" s="1"/>
  <c r="N96" i="5"/>
  <c r="N94" i="5" s="1"/>
  <c r="O566" i="11"/>
  <c r="K402" i="13"/>
  <c r="K427" i="13"/>
  <c r="K431" i="13"/>
  <c r="K112" i="13"/>
  <c r="O349" i="13"/>
  <c r="P45" i="17"/>
  <c r="K563" i="7"/>
  <c r="O566" i="7"/>
  <c r="O597" i="7"/>
  <c r="O601" i="7"/>
  <c r="K93" i="13"/>
  <c r="O601" i="13"/>
  <c r="K635" i="13"/>
  <c r="K573" i="14"/>
  <c r="K498" i="15"/>
  <c r="O533" i="15"/>
  <c r="K573" i="15"/>
  <c r="K591" i="15"/>
  <c r="K370" i="19"/>
  <c r="O404" i="19"/>
  <c r="K417" i="19"/>
  <c r="O535" i="19"/>
  <c r="O555" i="21"/>
  <c r="K629" i="21"/>
  <c r="K633" i="21"/>
  <c r="K628" i="5"/>
  <c r="K632" i="5"/>
  <c r="N96" i="20"/>
  <c r="N94" i="20" s="1"/>
  <c r="K370" i="20"/>
  <c r="K580" i="3"/>
  <c r="K593" i="3"/>
  <c r="L122" i="4"/>
  <c r="O122" i="4" s="1"/>
  <c r="K474" i="4"/>
  <c r="K482" i="4"/>
  <c r="K628" i="4"/>
  <c r="K265" i="5"/>
  <c r="L349" i="1"/>
  <c r="K613" i="6"/>
  <c r="N312" i="5"/>
  <c r="N310" i="5" s="1"/>
  <c r="K376" i="11"/>
  <c r="O380" i="11"/>
  <c r="K398" i="11"/>
  <c r="K402" i="11"/>
  <c r="K431" i="11"/>
  <c r="K435" i="18"/>
  <c r="K465" i="18"/>
  <c r="K418" i="20"/>
  <c r="K422" i="20"/>
  <c r="K219" i="6"/>
  <c r="K580" i="6"/>
  <c r="N68" i="18"/>
  <c r="N66" i="18" s="1"/>
  <c r="N292" i="5"/>
  <c r="N290" i="5" s="1"/>
  <c r="N312" i="7"/>
  <c r="N310" i="7" s="1"/>
  <c r="O401" i="5"/>
  <c r="K580" i="7"/>
  <c r="K92" i="10"/>
  <c r="K376" i="10"/>
  <c r="K398" i="10"/>
  <c r="O406" i="10"/>
  <c r="K419" i="10"/>
  <c r="K423" i="10"/>
  <c r="K498" i="10"/>
  <c r="N120" i="16"/>
  <c r="N118" i="16" s="1"/>
  <c r="K397" i="17"/>
  <c r="K377" i="18"/>
  <c r="J447" i="1"/>
  <c r="J350" i="1"/>
  <c r="I525" i="1"/>
  <c r="L597" i="1"/>
  <c r="M120" i="5"/>
  <c r="P120" i="5" s="1"/>
  <c r="J237" i="1"/>
  <c r="I370" i="1"/>
  <c r="O568" i="8"/>
  <c r="K635" i="11"/>
  <c r="P70" i="17"/>
  <c r="K345" i="18"/>
  <c r="K235" i="21"/>
  <c r="K497" i="21"/>
  <c r="O597" i="21"/>
  <c r="L318" i="1"/>
  <c r="O318" i="1" s="1"/>
  <c r="L275" i="5"/>
  <c r="O275" i="5" s="1"/>
  <c r="M312" i="5"/>
  <c r="P312" i="5" s="1"/>
  <c r="K270" i="16"/>
  <c r="O584" i="16"/>
  <c r="O597" i="16"/>
  <c r="K635" i="16"/>
  <c r="P57" i="17"/>
  <c r="K416" i="6"/>
  <c r="K420" i="6"/>
  <c r="O555" i="6"/>
  <c r="O599" i="6"/>
  <c r="K633" i="6"/>
  <c r="K80" i="9"/>
  <c r="L45" i="12"/>
  <c r="L43" i="12" s="1"/>
  <c r="K229" i="13"/>
  <c r="O347" i="6"/>
  <c r="J304" i="1"/>
  <c r="K449" i="18"/>
  <c r="K343" i="19"/>
  <c r="N142" i="12"/>
  <c r="N140" i="12" s="1"/>
  <c r="N459" i="1"/>
  <c r="J477" i="1"/>
  <c r="J485" i="1"/>
  <c r="J489" i="1"/>
  <c r="J493" i="1"/>
  <c r="N331" i="7"/>
  <c r="N329" i="7" s="1"/>
  <c r="N120" i="12"/>
  <c r="N118" i="12" s="1"/>
  <c r="L298" i="1"/>
  <c r="O298" i="1" s="1"/>
  <c r="K629" i="11"/>
  <c r="K628" i="19"/>
  <c r="J474" i="1"/>
  <c r="I340" i="1"/>
  <c r="J365" i="1"/>
  <c r="J401" i="1"/>
  <c r="J417" i="1"/>
  <c r="J512" i="1"/>
  <c r="J184" i="1"/>
  <c r="K427" i="6"/>
  <c r="O439" i="6"/>
  <c r="K560" i="6"/>
  <c r="I376" i="1"/>
  <c r="K573" i="8"/>
  <c r="K632" i="8"/>
  <c r="J324" i="1"/>
  <c r="I425" i="1"/>
  <c r="J433" i="1"/>
  <c r="N442" i="1"/>
  <c r="N555" i="1"/>
  <c r="J175" i="1"/>
  <c r="J212" i="1"/>
  <c r="K547" i="10"/>
  <c r="O599" i="10"/>
  <c r="J325" i="1"/>
  <c r="K375" i="14"/>
  <c r="K397" i="14"/>
  <c r="L333" i="21"/>
  <c r="L331" i="21" s="1"/>
  <c r="L329" i="21" s="1"/>
  <c r="L99" i="1"/>
  <c r="J217" i="1"/>
  <c r="J244" i="1"/>
  <c r="J345" i="1"/>
  <c r="I423" i="1"/>
  <c r="I431" i="1"/>
  <c r="I466" i="1"/>
  <c r="J505" i="1"/>
  <c r="J509" i="1"/>
  <c r="J513" i="1"/>
  <c r="J517" i="1"/>
  <c r="J521" i="1"/>
  <c r="J525" i="1"/>
  <c r="J529" i="1"/>
  <c r="N536" i="1"/>
  <c r="J544" i="1"/>
  <c r="J550" i="1"/>
  <c r="N553" i="1"/>
  <c r="N559" i="1"/>
  <c r="N566" i="1"/>
  <c r="N572" i="1"/>
  <c r="J577" i="1"/>
  <c r="N580" i="1"/>
  <c r="J590" i="1"/>
  <c r="J594" i="1"/>
  <c r="N601" i="1"/>
  <c r="J610" i="1"/>
  <c r="J614" i="1"/>
  <c r="J618" i="1"/>
  <c r="J81" i="1"/>
  <c r="J90" i="1"/>
  <c r="J286" i="1"/>
  <c r="N455" i="1"/>
  <c r="L316" i="1"/>
  <c r="J483" i="1"/>
  <c r="L57" i="5"/>
  <c r="O57" i="5" s="1"/>
  <c r="K185" i="5"/>
  <c r="J129" i="1"/>
  <c r="J320" i="1"/>
  <c r="J156" i="1"/>
  <c r="J189" i="1"/>
  <c r="J200" i="1"/>
  <c r="J391" i="1"/>
  <c r="K176" i="11"/>
  <c r="I375" i="1"/>
  <c r="J412" i="1"/>
  <c r="J508" i="1"/>
  <c r="J548" i="1"/>
  <c r="J634" i="1"/>
  <c r="K149" i="13"/>
  <c r="K186" i="14"/>
  <c r="O564" i="16"/>
  <c r="N312" i="20"/>
  <c r="N310" i="20" s="1"/>
  <c r="J303" i="1"/>
  <c r="J134" i="1"/>
  <c r="L146" i="1"/>
  <c r="J229" i="1"/>
  <c r="L406" i="1"/>
  <c r="L439" i="1"/>
  <c r="N460" i="1"/>
  <c r="I474" i="1"/>
  <c r="K564" i="2"/>
  <c r="K466" i="3"/>
  <c r="K482" i="3"/>
  <c r="K498" i="3"/>
  <c r="K628" i="3"/>
  <c r="K632" i="3"/>
  <c r="L70" i="4"/>
  <c r="O70" i="4" s="1"/>
  <c r="J232" i="1"/>
  <c r="K547" i="9"/>
  <c r="O457" i="11"/>
  <c r="K381" i="13"/>
  <c r="K432" i="13"/>
  <c r="K449" i="13"/>
  <c r="K628" i="13"/>
  <c r="K547" i="14"/>
  <c r="O533" i="17"/>
  <c r="N331" i="20"/>
  <c r="N329" i="20" s="1"/>
  <c r="N585" i="1"/>
  <c r="I149" i="1"/>
  <c r="I249" i="1"/>
  <c r="J369" i="1"/>
  <c r="N403" i="1"/>
  <c r="J110" i="1"/>
  <c r="J267" i="1"/>
  <c r="J400" i="1"/>
  <c r="N436" i="1"/>
  <c r="J531" i="1"/>
  <c r="N564" i="1"/>
  <c r="N568" i="1"/>
  <c r="N599" i="1"/>
  <c r="N605" i="1"/>
  <c r="J616" i="1"/>
  <c r="J157" i="1"/>
  <c r="J363" i="1"/>
  <c r="I432" i="1"/>
  <c r="J135" i="1"/>
  <c r="N384" i="1"/>
  <c r="J466" i="1"/>
  <c r="J498" i="1"/>
  <c r="N581" i="1"/>
  <c r="I88" i="1"/>
  <c r="J282" i="1"/>
  <c r="J309" i="1"/>
  <c r="O582" i="10"/>
  <c r="N102" i="1"/>
  <c r="J186" i="1"/>
  <c r="J377" i="1"/>
  <c r="L582" i="1"/>
  <c r="N354" i="1"/>
  <c r="N440" i="1"/>
  <c r="L126" i="1"/>
  <c r="O126" i="1" s="1"/>
  <c r="L382" i="1"/>
  <c r="O382" i="1" s="1"/>
  <c r="I502" i="1"/>
  <c r="K502" i="1" s="1"/>
  <c r="J364" i="1"/>
  <c r="N408" i="1"/>
  <c r="J268" i="1"/>
  <c r="I349" i="1"/>
  <c r="N357" i="1"/>
  <c r="J374" i="1"/>
  <c r="J379" i="1"/>
  <c r="N382" i="1"/>
  <c r="J396" i="1"/>
  <c r="N404" i="1"/>
  <c r="J421" i="1"/>
  <c r="I589" i="1"/>
  <c r="I109" i="1"/>
  <c r="I374" i="1"/>
  <c r="N386" i="1"/>
  <c r="I396" i="1"/>
  <c r="N409" i="1"/>
  <c r="I421" i="1"/>
  <c r="I429" i="1"/>
  <c r="L437" i="1"/>
  <c r="I450" i="1"/>
  <c r="J164" i="1"/>
  <c r="J195" i="1"/>
  <c r="J201" i="1"/>
  <c r="J218" i="1"/>
  <c r="K229" i="11"/>
  <c r="N252" i="11"/>
  <c r="N250" i="11" s="1"/>
  <c r="O566" i="14"/>
  <c r="O580" i="14"/>
  <c r="O597" i="14"/>
  <c r="O601" i="14"/>
  <c r="K635" i="14"/>
  <c r="K164" i="15"/>
  <c r="O601" i="15"/>
  <c r="K631" i="15"/>
  <c r="K229" i="16"/>
  <c r="K624" i="17"/>
  <c r="O580" i="20"/>
  <c r="O584" i="20"/>
  <c r="O601" i="20"/>
  <c r="K635" i="20"/>
  <c r="J470" i="1"/>
  <c r="J530" i="1"/>
  <c r="J159" i="1"/>
  <c r="J373" i="1"/>
  <c r="J454" i="1"/>
  <c r="I344" i="1"/>
  <c r="K344" i="1" s="1"/>
  <c r="L279" i="1"/>
  <c r="O279" i="1" s="1"/>
  <c r="N252" i="3"/>
  <c r="N250" i="3" s="1"/>
  <c r="N252" i="4"/>
  <c r="N250" i="4" s="1"/>
  <c r="N312" i="4"/>
  <c r="N310" i="4" s="1"/>
  <c r="N331" i="5"/>
  <c r="N329" i="5" s="1"/>
  <c r="K328" i="13"/>
  <c r="K164" i="14"/>
  <c r="K185" i="14"/>
  <c r="K266" i="14"/>
  <c r="L333" i="14"/>
  <c r="L331" i="14" s="1"/>
  <c r="L329" i="14" s="1"/>
  <c r="K341" i="14"/>
  <c r="J504" i="1"/>
  <c r="K341" i="20"/>
  <c r="O601" i="21"/>
  <c r="K631" i="21"/>
  <c r="K635" i="21"/>
  <c r="J502" i="1"/>
  <c r="L100" i="1"/>
  <c r="J109" i="1"/>
  <c r="J176" i="1"/>
  <c r="I343" i="1"/>
  <c r="N385" i="1"/>
  <c r="N337" i="1"/>
  <c r="L123" i="1"/>
  <c r="I529" i="1"/>
  <c r="J543" i="1"/>
  <c r="J549" i="1"/>
  <c r="L580" i="1"/>
  <c r="I380" i="1"/>
  <c r="O337" i="16"/>
  <c r="O354" i="16"/>
  <c r="K611" i="16"/>
  <c r="K341" i="21"/>
  <c r="I531" i="1"/>
  <c r="I619" i="1"/>
  <c r="M70" i="1"/>
  <c r="I185" i="1"/>
  <c r="I452" i="1"/>
  <c r="K452" i="1" s="1"/>
  <c r="N33" i="7"/>
  <c r="N13" i="7" s="1"/>
  <c r="J76" i="1"/>
  <c r="K82" i="2"/>
  <c r="I82" i="1"/>
  <c r="K484" i="2"/>
  <c r="I484" i="1"/>
  <c r="K484" i="1" s="1"/>
  <c r="J185" i="1"/>
  <c r="J281" i="1"/>
  <c r="K309" i="4"/>
  <c r="I309" i="1"/>
  <c r="K494" i="4"/>
  <c r="I494" i="1"/>
  <c r="K494" i="1" s="1"/>
  <c r="K498" i="4"/>
  <c r="I498" i="1"/>
  <c r="K506" i="4"/>
  <c r="I506" i="1"/>
  <c r="K506" i="1" s="1"/>
  <c r="K510" i="4"/>
  <c r="I510" i="1"/>
  <c r="K510" i="1" s="1"/>
  <c r="L533" i="1"/>
  <c r="K560" i="4"/>
  <c r="I560" i="1"/>
  <c r="P275" i="5"/>
  <c r="M273" i="5"/>
  <c r="P273" i="5" s="1"/>
  <c r="L47" i="1"/>
  <c r="J65" i="1"/>
  <c r="L72" i="1"/>
  <c r="J80" i="1"/>
  <c r="J84" i="1"/>
  <c r="J88" i="1"/>
  <c r="I113" i="1"/>
  <c r="I199" i="1"/>
  <c r="L255" i="1"/>
  <c r="I86" i="1"/>
  <c r="J289" i="1"/>
  <c r="I520" i="1"/>
  <c r="I84" i="1"/>
  <c r="L148" i="1"/>
  <c r="O148" i="1" s="1"/>
  <c r="I306" i="1"/>
  <c r="I339" i="1"/>
  <c r="K339" i="1" s="1"/>
  <c r="L384" i="1"/>
  <c r="O384" i="1" s="1"/>
  <c r="I489" i="1"/>
  <c r="K489" i="1" s="1"/>
  <c r="J578" i="1"/>
  <c r="N588" i="1"/>
  <c r="J64" i="1"/>
  <c r="L145" i="1"/>
  <c r="J163" i="1"/>
  <c r="J210" i="1"/>
  <c r="J216" i="1"/>
  <c r="I229" i="1"/>
  <c r="J236" i="1"/>
  <c r="J413" i="1"/>
  <c r="I497" i="1"/>
  <c r="K501" i="2"/>
  <c r="I501" i="1"/>
  <c r="K501" i="1" s="1"/>
  <c r="I622" i="1"/>
  <c r="J344" i="1"/>
  <c r="O401" i="3"/>
  <c r="L401" i="1"/>
  <c r="O405" i="3"/>
  <c r="L405" i="1"/>
  <c r="O405" i="1" s="1"/>
  <c r="I430" i="1"/>
  <c r="L459" i="1"/>
  <c r="I465" i="1"/>
  <c r="K469" i="3"/>
  <c r="I469" i="1"/>
  <c r="K469" i="1" s="1"/>
  <c r="K473" i="3"/>
  <c r="I473" i="1"/>
  <c r="K563" i="3"/>
  <c r="I133" i="1"/>
  <c r="M275" i="1"/>
  <c r="J283" i="1"/>
  <c r="L294" i="4"/>
  <c r="O294" i="4" s="1"/>
  <c r="L295" i="1"/>
  <c r="L314" i="4"/>
  <c r="O314" i="4" s="1"/>
  <c r="L315" i="1"/>
  <c r="K324" i="4"/>
  <c r="I324" i="1"/>
  <c r="K324" i="1" s="1"/>
  <c r="J393" i="1"/>
  <c r="I449" i="1"/>
  <c r="K112" i="2"/>
  <c r="I112" i="1"/>
  <c r="N353" i="1"/>
  <c r="L256" i="1"/>
  <c r="J269" i="1"/>
  <c r="J515" i="1"/>
  <c r="N534" i="1"/>
  <c r="K578" i="5"/>
  <c r="I578" i="1"/>
  <c r="K578" i="1" s="1"/>
  <c r="L58" i="1"/>
  <c r="J630" i="1"/>
  <c r="M314" i="1"/>
  <c r="J194" i="1"/>
  <c r="J211" i="1"/>
  <c r="J300" i="1"/>
  <c r="L335" i="1"/>
  <c r="J361" i="1"/>
  <c r="I372" i="1"/>
  <c r="J414" i="1"/>
  <c r="I427" i="1"/>
  <c r="J264" i="1"/>
  <c r="J479" i="1"/>
  <c r="J519" i="1"/>
  <c r="I577" i="1"/>
  <c r="K577" i="1" s="1"/>
  <c r="J427" i="1"/>
  <c r="J431" i="1"/>
  <c r="N435" i="1"/>
  <c r="K108" i="2"/>
  <c r="I108" i="1"/>
  <c r="J174" i="1"/>
  <c r="J322" i="1"/>
  <c r="J341" i="1"/>
  <c r="I368" i="1"/>
  <c r="L380" i="1"/>
  <c r="I402" i="1"/>
  <c r="I419" i="1"/>
  <c r="L435" i="1"/>
  <c r="I244" i="1"/>
  <c r="K244" i="1" s="1"/>
  <c r="I289" i="1"/>
  <c r="I551" i="1"/>
  <c r="K547" i="5"/>
  <c r="K93" i="6"/>
  <c r="K350" i="6"/>
  <c r="J482" i="1"/>
  <c r="J514" i="1"/>
  <c r="J518" i="1"/>
  <c r="K149" i="7"/>
  <c r="L224" i="7"/>
  <c r="O224" i="7" s="1"/>
  <c r="O380" i="7"/>
  <c r="O406" i="7"/>
  <c r="K133" i="8"/>
  <c r="J238" i="1"/>
  <c r="K398" i="8"/>
  <c r="K138" i="10"/>
  <c r="I304" i="1"/>
  <c r="P333" i="2"/>
  <c r="O352" i="2"/>
  <c r="J370" i="1"/>
  <c r="N387" i="1"/>
  <c r="J425" i="1"/>
  <c r="J434" i="1"/>
  <c r="N443" i="1"/>
  <c r="J492" i="1"/>
  <c r="K564" i="4"/>
  <c r="K573" i="4"/>
  <c r="P45" i="5"/>
  <c r="K111" i="5"/>
  <c r="K199" i="5"/>
  <c r="K381" i="5"/>
  <c r="K345" i="6"/>
  <c r="K164" i="9"/>
  <c r="O601" i="9"/>
  <c r="K349" i="10"/>
  <c r="K635" i="12"/>
  <c r="N565" i="1"/>
  <c r="J523" i="1"/>
  <c r="J527" i="1"/>
  <c r="L224" i="16"/>
  <c r="O224" i="16" s="1"/>
  <c r="K370" i="16"/>
  <c r="K630" i="17"/>
  <c r="P70" i="18"/>
  <c r="M312" i="18"/>
  <c r="M310" i="18" s="1"/>
  <c r="P310" i="18" s="1"/>
  <c r="O535" i="18"/>
  <c r="L224" i="20"/>
  <c r="O224" i="20" s="1"/>
  <c r="K249" i="20"/>
  <c r="K176" i="21"/>
  <c r="K213" i="21"/>
  <c r="P224" i="21"/>
  <c r="K267" i="21"/>
  <c r="K285" i="10"/>
  <c r="K593" i="10"/>
  <c r="K597" i="10"/>
  <c r="K634" i="10"/>
  <c r="K380" i="11"/>
  <c r="O383" i="11"/>
  <c r="K418" i="11"/>
  <c r="K426" i="11"/>
  <c r="K376" i="12"/>
  <c r="I266" i="1"/>
  <c r="J285" i="1"/>
  <c r="J308" i="1"/>
  <c r="N314" i="1"/>
  <c r="J323" i="1"/>
  <c r="J392" i="1"/>
  <c r="J398" i="1"/>
  <c r="J402" i="1"/>
  <c r="N406" i="1"/>
  <c r="J415" i="1"/>
  <c r="J419" i="1"/>
  <c r="J423" i="1"/>
  <c r="L333" i="3"/>
  <c r="L331" i="3" s="1"/>
  <c r="N222" i="6"/>
  <c r="N220" i="6" s="1"/>
  <c r="O354" i="8"/>
  <c r="N120" i="9"/>
  <c r="N118" i="9" s="1"/>
  <c r="K82" i="11"/>
  <c r="K92" i="11"/>
  <c r="J611" i="1"/>
  <c r="K108" i="15"/>
  <c r="N252" i="17"/>
  <c r="N250" i="17" s="1"/>
  <c r="K396" i="17"/>
  <c r="N312" i="18"/>
  <c r="N310" i="18" s="1"/>
  <c r="K563" i="18"/>
  <c r="O566" i="18"/>
  <c r="K634" i="18"/>
  <c r="N331" i="19"/>
  <c r="N329" i="19" s="1"/>
  <c r="N55" i="20"/>
  <c r="N53" i="20" s="1"/>
  <c r="K110" i="21"/>
  <c r="I479" i="1"/>
  <c r="K479" i="1" s="1"/>
  <c r="I219" i="1"/>
  <c r="J246" i="1"/>
  <c r="J302" i="1"/>
  <c r="O102" i="5"/>
  <c r="P144" i="7"/>
  <c r="K173" i="7"/>
  <c r="K189" i="7"/>
  <c r="L57" i="9"/>
  <c r="O57" i="9" s="1"/>
  <c r="K396" i="9"/>
  <c r="K631" i="10"/>
  <c r="K482" i="11"/>
  <c r="K267" i="15"/>
  <c r="K341" i="15"/>
  <c r="O406" i="15"/>
  <c r="K398" i="16"/>
  <c r="K402" i="16"/>
  <c r="K285" i="20"/>
  <c r="J203" i="1"/>
  <c r="N331" i="4"/>
  <c r="N329" i="4" s="1"/>
  <c r="K328" i="5"/>
  <c r="O349" i="5"/>
  <c r="K613" i="10"/>
  <c r="I573" i="1"/>
  <c r="K401" i="12"/>
  <c r="K421" i="12"/>
  <c r="K425" i="12"/>
  <c r="K464" i="12"/>
  <c r="K499" i="13"/>
  <c r="K595" i="13"/>
  <c r="N273" i="17"/>
  <c r="N271" i="17" s="1"/>
  <c r="K547" i="20"/>
  <c r="K285" i="21"/>
  <c r="J197" i="1"/>
  <c r="J213" i="1"/>
  <c r="I85" i="1"/>
  <c r="J561" i="1"/>
  <c r="J592" i="1"/>
  <c r="J596" i="1"/>
  <c r="J612" i="1"/>
  <c r="J620" i="1"/>
  <c r="J629" i="1"/>
  <c r="J633" i="1"/>
  <c r="K345" i="4"/>
  <c r="O566" i="4"/>
  <c r="J593" i="1"/>
  <c r="J625" i="1"/>
  <c r="K176" i="5"/>
  <c r="K267" i="5"/>
  <c r="K372" i="5"/>
  <c r="K402" i="5"/>
  <c r="N32" i="6"/>
  <c r="N30" i="6" s="1"/>
  <c r="K375" i="6"/>
  <c r="K380" i="6"/>
  <c r="K418" i="6"/>
  <c r="K435" i="6"/>
  <c r="K473" i="6"/>
  <c r="K497" i="6"/>
  <c r="L553" i="1"/>
  <c r="O584" i="6"/>
  <c r="K635" i="6"/>
  <c r="P333" i="7"/>
  <c r="K401" i="7"/>
  <c r="K421" i="7"/>
  <c r="K425" i="7"/>
  <c r="K82" i="8"/>
  <c r="K229" i="8"/>
  <c r="L254" i="12"/>
  <c r="L252" i="12" s="1"/>
  <c r="O252" i="12" s="1"/>
  <c r="K597" i="12"/>
  <c r="K630" i="12"/>
  <c r="L70" i="13"/>
  <c r="O70" i="13" s="1"/>
  <c r="K547" i="13"/>
  <c r="O564" i="13"/>
  <c r="N55" i="14"/>
  <c r="N53" i="14" s="1"/>
  <c r="P53" i="14" s="1"/>
  <c r="K84" i="14"/>
  <c r="K264" i="14"/>
  <c r="N292" i="15"/>
  <c r="N290" i="15" s="1"/>
  <c r="N312" i="16"/>
  <c r="N310" i="16" s="1"/>
  <c r="O535" i="17"/>
  <c r="K589" i="17"/>
  <c r="K593" i="17"/>
  <c r="K82" i="18"/>
  <c r="K138" i="18"/>
  <c r="K270" i="19"/>
  <c r="K498" i="21"/>
  <c r="O533" i="21"/>
  <c r="K592" i="10"/>
  <c r="I592" i="1"/>
  <c r="K592" i="1" s="1"/>
  <c r="I515" i="1"/>
  <c r="K515" i="1" s="1"/>
  <c r="L564" i="1"/>
  <c r="N437" i="1"/>
  <c r="O601" i="17"/>
  <c r="I488" i="1"/>
  <c r="K488" i="1" s="1"/>
  <c r="I508" i="1"/>
  <c r="K508" i="1" s="1"/>
  <c r="L555" i="1"/>
  <c r="I623" i="1"/>
  <c r="I628" i="1"/>
  <c r="J631" i="1"/>
  <c r="I418" i="1"/>
  <c r="I422" i="1"/>
  <c r="I426" i="1"/>
  <c r="L565" i="1"/>
  <c r="O565" i="1" s="1"/>
  <c r="J497" i="1"/>
  <c r="J501" i="1"/>
  <c r="I517" i="1"/>
  <c r="I521" i="1"/>
  <c r="I533" i="1"/>
  <c r="J394" i="1"/>
  <c r="J260" i="1"/>
  <c r="I342" i="1"/>
  <c r="K342" i="1" s="1"/>
  <c r="I350" i="1"/>
  <c r="L354" i="1"/>
  <c r="J362" i="1"/>
  <c r="J368" i="1"/>
  <c r="N569" i="1"/>
  <c r="K593" i="5"/>
  <c r="I593" i="1"/>
  <c r="J346" i="1"/>
  <c r="L385" i="1"/>
  <c r="J399" i="1"/>
  <c r="N407" i="1"/>
  <c r="I416" i="1"/>
  <c r="I420" i="1"/>
  <c r="L352" i="1"/>
  <c r="L456" i="1"/>
  <c r="O456" i="1" s="1"/>
  <c r="L32" i="5"/>
  <c r="L30" i="5" s="1"/>
  <c r="O534" i="12"/>
  <c r="L534" i="1"/>
  <c r="O534" i="1" s="1"/>
  <c r="N538" i="1"/>
  <c r="N258" i="1"/>
  <c r="L458" i="1"/>
  <c r="O458" i="1" s="1"/>
  <c r="I470" i="1"/>
  <c r="K470" i="1" s="1"/>
  <c r="I504" i="1"/>
  <c r="K504" i="1" s="1"/>
  <c r="O554" i="19"/>
  <c r="L554" i="1"/>
  <c r="O554" i="1" s="1"/>
  <c r="I264" i="1"/>
  <c r="L599" i="1"/>
  <c r="J579" i="1"/>
  <c r="N582" i="1"/>
  <c r="K264" i="6"/>
  <c r="N439" i="1"/>
  <c r="J448" i="1"/>
  <c r="J452" i="1"/>
  <c r="N461" i="1"/>
  <c r="I482" i="1"/>
  <c r="N333" i="1"/>
  <c r="J340" i="1"/>
  <c r="J349" i="1"/>
  <c r="N352" i="1"/>
  <c r="N358" i="1"/>
  <c r="J366" i="1"/>
  <c r="N388" i="1"/>
  <c r="K164" i="4"/>
  <c r="O601" i="4"/>
  <c r="K635" i="4"/>
  <c r="N33" i="5"/>
  <c r="N13" i="5" s="1"/>
  <c r="P57" i="6"/>
  <c r="K341" i="6"/>
  <c r="O553" i="6"/>
  <c r="L71" i="1"/>
  <c r="P98" i="7"/>
  <c r="K343" i="7"/>
  <c r="O347" i="7"/>
  <c r="J615" i="1"/>
  <c r="J623" i="1"/>
  <c r="K249" i="8"/>
  <c r="N252" i="8"/>
  <c r="N250" i="8" s="1"/>
  <c r="M331" i="8"/>
  <c r="M329" i="8" s="1"/>
  <c r="N49" i="1"/>
  <c r="L59" i="1"/>
  <c r="N228" i="1"/>
  <c r="J235" i="1"/>
  <c r="J243" i="1"/>
  <c r="I341" i="1"/>
  <c r="J360" i="1"/>
  <c r="J367" i="1"/>
  <c r="J375" i="1"/>
  <c r="N32" i="10"/>
  <c r="N30" i="10" s="1"/>
  <c r="J418" i="1"/>
  <c r="J422" i="1"/>
  <c r="J445" i="1"/>
  <c r="L455" i="1"/>
  <c r="J464" i="1"/>
  <c r="J468" i="1"/>
  <c r="J472" i="1"/>
  <c r="J476" i="1"/>
  <c r="J480" i="1"/>
  <c r="J484" i="1"/>
  <c r="J491" i="1"/>
  <c r="J499" i="1"/>
  <c r="M312" i="17"/>
  <c r="M310" i="17" s="1"/>
  <c r="P310" i="17" s="1"/>
  <c r="K416" i="17"/>
  <c r="J89" i="1"/>
  <c r="J113" i="1"/>
  <c r="J128" i="1"/>
  <c r="J262" i="1"/>
  <c r="K267" i="2"/>
  <c r="N294" i="1"/>
  <c r="L347" i="1"/>
  <c r="N355" i="1"/>
  <c r="K381" i="2"/>
  <c r="J261" i="1"/>
  <c r="J266" i="1"/>
  <c r="K422" i="3"/>
  <c r="J85" i="1"/>
  <c r="J104" i="1"/>
  <c r="J114" i="1"/>
  <c r="O49" i="6"/>
  <c r="L57" i="6"/>
  <c r="L55" i="6" s="1"/>
  <c r="K265" i="6"/>
  <c r="L57" i="7"/>
  <c r="O57" i="7" s="1"/>
  <c r="N31" i="7"/>
  <c r="N29" i="7" s="1"/>
  <c r="K547" i="7"/>
  <c r="O555" i="7"/>
  <c r="K416" i="8"/>
  <c r="K424" i="8"/>
  <c r="O457" i="8"/>
  <c r="K112" i="9"/>
  <c r="L294" i="11"/>
  <c r="O294" i="11" s="1"/>
  <c r="K450" i="11"/>
  <c r="N292" i="13"/>
  <c r="N290" i="13" s="1"/>
  <c r="K455" i="13"/>
  <c r="O537" i="13"/>
  <c r="K551" i="13"/>
  <c r="K560" i="13"/>
  <c r="K573" i="13"/>
  <c r="K176" i="14"/>
  <c r="P224" i="14"/>
  <c r="O439" i="14"/>
  <c r="K328" i="15"/>
  <c r="K186" i="18"/>
  <c r="O599" i="18"/>
  <c r="K200" i="19"/>
  <c r="L254" i="21"/>
  <c r="O254" i="21" s="1"/>
  <c r="J234" i="1"/>
  <c r="J241" i="1"/>
  <c r="J249" i="1"/>
  <c r="J77" i="1"/>
  <c r="N98" i="1"/>
  <c r="J107" i="1"/>
  <c r="J111" i="1"/>
  <c r="J117" i="1"/>
  <c r="N148" i="1"/>
  <c r="J158" i="1"/>
  <c r="J169" i="1"/>
  <c r="J202" i="1"/>
  <c r="J231" i="1"/>
  <c r="J245" i="1"/>
  <c r="N558" i="1"/>
  <c r="L584" i="1"/>
  <c r="I626" i="1"/>
  <c r="K547" i="4"/>
  <c r="L34" i="6"/>
  <c r="J478" i="1"/>
  <c r="J486" i="1"/>
  <c r="J490" i="1"/>
  <c r="J494" i="1"/>
  <c r="J522" i="1"/>
  <c r="J526" i="1"/>
  <c r="N533" i="1"/>
  <c r="N537" i="1"/>
  <c r="J546" i="1"/>
  <c r="J551" i="1"/>
  <c r="J564" i="1"/>
  <c r="N567" i="1"/>
  <c r="J573" i="1"/>
  <c r="J595" i="1"/>
  <c r="N598" i="1"/>
  <c r="J488" i="1"/>
  <c r="J496" i="1"/>
  <c r="J500" i="1"/>
  <c r="I516" i="1"/>
  <c r="I524" i="1"/>
  <c r="I528" i="1"/>
  <c r="I532" i="1"/>
  <c r="N556" i="1"/>
  <c r="N457" i="1"/>
  <c r="N463" i="1"/>
  <c r="J467" i="1"/>
  <c r="J471" i="1"/>
  <c r="L568" i="1"/>
  <c r="N587" i="1"/>
  <c r="I612" i="1"/>
  <c r="I616" i="1"/>
  <c r="K176" i="13"/>
  <c r="N34" i="15"/>
  <c r="N14" i="15" s="1"/>
  <c r="K416" i="19"/>
  <c r="K428" i="19"/>
  <c r="K589" i="21"/>
  <c r="J105" i="1"/>
  <c r="J115" i="1"/>
  <c r="M144" i="1"/>
  <c r="J161" i="1"/>
  <c r="J172" i="1"/>
  <c r="J188" i="1"/>
  <c r="J199" i="1"/>
  <c r="J204" i="1"/>
  <c r="J215" i="1"/>
  <c r="K235" i="2"/>
  <c r="K289" i="2"/>
  <c r="K421" i="2"/>
  <c r="K425" i="2"/>
  <c r="K429" i="2"/>
  <c r="O437" i="2"/>
  <c r="I629" i="1"/>
  <c r="I633" i="1"/>
  <c r="J263" i="1"/>
  <c r="L314" i="3"/>
  <c r="L312" i="3" s="1"/>
  <c r="O312" i="3" s="1"/>
  <c r="K431" i="3"/>
  <c r="O435" i="3"/>
  <c r="J506" i="1"/>
  <c r="O533" i="3"/>
  <c r="L537" i="1"/>
  <c r="J545" i="1"/>
  <c r="N68" i="4"/>
  <c r="N66" i="4" s="1"/>
  <c r="N142" i="6"/>
  <c r="N140" i="6" s="1"/>
  <c r="O102" i="7"/>
  <c r="O459" i="7"/>
  <c r="K473" i="7"/>
  <c r="K200" i="8"/>
  <c r="K265" i="8"/>
  <c r="K270" i="8"/>
  <c r="L275" i="8"/>
  <c r="O275" i="8" s="1"/>
  <c r="K285" i="8"/>
  <c r="O437" i="8"/>
  <c r="K464" i="8"/>
  <c r="K199" i="9"/>
  <c r="K425" i="9"/>
  <c r="K563" i="12"/>
  <c r="L57" i="13"/>
  <c r="L55" i="13" s="1"/>
  <c r="N68" i="14"/>
  <c r="N66" i="14" s="1"/>
  <c r="N252" i="14"/>
  <c r="N250" i="14" s="1"/>
  <c r="K267" i="14"/>
  <c r="K449" i="14"/>
  <c r="K80" i="15"/>
  <c r="O435" i="15"/>
  <c r="O439" i="15"/>
  <c r="K497" i="16"/>
  <c r="K563" i="16"/>
  <c r="K376" i="17"/>
  <c r="O380" i="17"/>
  <c r="N55" i="19"/>
  <c r="N53" i="19" s="1"/>
  <c r="N68" i="19"/>
  <c r="N66" i="19" s="1"/>
  <c r="K481" i="20"/>
  <c r="K380" i="21"/>
  <c r="J106" i="1"/>
  <c r="I117" i="1"/>
  <c r="J131" i="1"/>
  <c r="J138" i="1"/>
  <c r="J455" i="1"/>
  <c r="J607" i="1"/>
  <c r="I613" i="1"/>
  <c r="I617" i="1"/>
  <c r="J624" i="1"/>
  <c r="N45" i="1"/>
  <c r="J149" i="1"/>
  <c r="J187" i="1"/>
  <c r="L225" i="1"/>
  <c r="J233" i="1"/>
  <c r="O385" i="3"/>
  <c r="J453" i="1"/>
  <c r="L457" i="1"/>
  <c r="I499" i="1"/>
  <c r="N33" i="3"/>
  <c r="N13" i="3" s="1"/>
  <c r="K149" i="6"/>
  <c r="N273" i="9"/>
  <c r="N271" i="9" s="1"/>
  <c r="K616" i="15"/>
  <c r="K402" i="18"/>
  <c r="P314" i="20"/>
  <c r="J173" i="1"/>
  <c r="N541" i="1"/>
  <c r="N552" i="1"/>
  <c r="N557" i="1"/>
  <c r="N570" i="1"/>
  <c r="J576" i="1"/>
  <c r="J580" i="1"/>
  <c r="N583" i="1"/>
  <c r="J589" i="1"/>
  <c r="K593" i="2"/>
  <c r="J597" i="1"/>
  <c r="N600" i="1"/>
  <c r="J416" i="1"/>
  <c r="J420" i="1"/>
  <c r="J428" i="1"/>
  <c r="J432" i="1"/>
  <c r="N441" i="1"/>
  <c r="J449" i="1"/>
  <c r="J503" i="1"/>
  <c r="J507" i="1"/>
  <c r="J511" i="1"/>
  <c r="I519" i="1"/>
  <c r="I523" i="1"/>
  <c r="I527" i="1"/>
  <c r="I547" i="1"/>
  <c r="P144" i="4"/>
  <c r="K173" i="4"/>
  <c r="K200" i="4"/>
  <c r="L254" i="6"/>
  <c r="L252" i="6" s="1"/>
  <c r="L250" i="6" s="1"/>
  <c r="K267" i="6"/>
  <c r="K635" i="7"/>
  <c r="L144" i="8"/>
  <c r="L142" i="8" s="1"/>
  <c r="K349" i="8"/>
  <c r="O74" i="9"/>
  <c r="L144" i="9"/>
  <c r="L142" i="9" s="1"/>
  <c r="L140" i="9" s="1"/>
  <c r="K345" i="9"/>
  <c r="K426" i="9"/>
  <c r="K481" i="9"/>
  <c r="K186" i="11"/>
  <c r="L70" i="12"/>
  <c r="O70" i="12" s="1"/>
  <c r="O435" i="13"/>
  <c r="K620" i="13"/>
  <c r="K629" i="13"/>
  <c r="K455" i="14"/>
  <c r="K464" i="14"/>
  <c r="K482" i="16"/>
  <c r="K80" i="19"/>
  <c r="L45" i="2"/>
  <c r="L43" i="2" s="1"/>
  <c r="L41" i="2" s="1"/>
  <c r="J270" i="1"/>
  <c r="N438" i="1"/>
  <c r="J446" i="1"/>
  <c r="J451" i="1"/>
  <c r="J465" i="1"/>
  <c r="J469" i="1"/>
  <c r="J473" i="1"/>
  <c r="I481" i="1"/>
  <c r="K621" i="2"/>
  <c r="N318" i="1"/>
  <c r="J326" i="1"/>
  <c r="J343" i="1"/>
  <c r="N351" i="1"/>
  <c r="K370" i="3"/>
  <c r="J378" i="1"/>
  <c r="I401" i="1"/>
  <c r="L404" i="1"/>
  <c r="I455" i="1"/>
  <c r="K328" i="4"/>
  <c r="K397" i="4"/>
  <c r="O401" i="4"/>
  <c r="K426" i="4"/>
  <c r="L34" i="4"/>
  <c r="K597" i="4"/>
  <c r="K630" i="4"/>
  <c r="K634" i="4"/>
  <c r="N43" i="6"/>
  <c r="N41" i="6" s="1"/>
  <c r="L254" i="7"/>
  <c r="O254" i="7" s="1"/>
  <c r="N292" i="7"/>
  <c r="N290" i="7" s="1"/>
  <c r="P337" i="7"/>
  <c r="N22" i="8"/>
  <c r="O566" i="8"/>
  <c r="K631" i="8"/>
  <c r="K82" i="9"/>
  <c r="K533" i="9"/>
  <c r="K631" i="9"/>
  <c r="L254" i="10"/>
  <c r="O254" i="10" s="1"/>
  <c r="O437" i="10"/>
  <c r="O347" i="12"/>
  <c r="O385" i="12"/>
  <c r="L294" i="13"/>
  <c r="O294" i="13" s="1"/>
  <c r="K630" i="13"/>
  <c r="K189" i="14"/>
  <c r="N33" i="14"/>
  <c r="N13" i="14" s="1"/>
  <c r="K580" i="14"/>
  <c r="N120" i="15"/>
  <c r="N118" i="15" s="1"/>
  <c r="O347" i="15"/>
  <c r="K499" i="15"/>
  <c r="O599" i="15"/>
  <c r="K629" i="15"/>
  <c r="O439" i="17"/>
  <c r="K497" i="17"/>
  <c r="K229" i="18"/>
  <c r="K466" i="18"/>
  <c r="K85" i="19"/>
  <c r="P275" i="19"/>
  <c r="L254" i="20"/>
  <c r="O254" i="20" s="1"/>
  <c r="K264" i="20"/>
  <c r="O533" i="20"/>
  <c r="K580" i="20"/>
  <c r="K593" i="20"/>
  <c r="K597" i="20"/>
  <c r="K634" i="20"/>
  <c r="L70" i="21"/>
  <c r="O70" i="21" s="1"/>
  <c r="N312" i="21"/>
  <c r="N310" i="21" s="1"/>
  <c r="K377" i="21"/>
  <c r="K381" i="21"/>
  <c r="K416" i="21"/>
  <c r="K424" i="21"/>
  <c r="K432" i="21"/>
  <c r="N252" i="2"/>
  <c r="N250" i="2" s="1"/>
  <c r="N254" i="1"/>
  <c r="K186" i="3"/>
  <c r="I186" i="1"/>
  <c r="O258" i="10"/>
  <c r="L258" i="1"/>
  <c r="O258" i="1" s="1"/>
  <c r="K270" i="10"/>
  <c r="I270" i="1"/>
  <c r="K345" i="10"/>
  <c r="I345" i="1"/>
  <c r="I213" i="1"/>
  <c r="I216" i="1"/>
  <c r="I267" i="1"/>
  <c r="O74" i="2"/>
  <c r="L74" i="1"/>
  <c r="K81" i="2"/>
  <c r="I81" i="1"/>
  <c r="J287" i="1"/>
  <c r="O351" i="2"/>
  <c r="L31" i="2"/>
  <c r="L29" i="2" s="1"/>
  <c r="O29" i="2" s="1"/>
  <c r="L351" i="1"/>
  <c r="O351" i="1" s="1"/>
  <c r="J328" i="1"/>
  <c r="K371" i="3"/>
  <c r="I371" i="1"/>
  <c r="K371" i="1" s="1"/>
  <c r="O383" i="3"/>
  <c r="L383" i="1"/>
  <c r="K397" i="3"/>
  <c r="I397" i="1"/>
  <c r="O404" i="3"/>
  <c r="K429" i="3"/>
  <c r="J429" i="1"/>
  <c r="O403" i="13"/>
  <c r="L403" i="1"/>
  <c r="O403" i="1" s="1"/>
  <c r="K424" i="13"/>
  <c r="I424" i="1"/>
  <c r="K428" i="13"/>
  <c r="I428" i="1"/>
  <c r="O436" i="13"/>
  <c r="L436" i="1"/>
  <c r="O436" i="1" s="1"/>
  <c r="L353" i="1"/>
  <c r="O353" i="1" s="1"/>
  <c r="J82" i="1"/>
  <c r="N126" i="1"/>
  <c r="K204" i="3"/>
  <c r="I204" i="1"/>
  <c r="P254" i="3"/>
  <c r="O566" i="3"/>
  <c r="L566" i="1"/>
  <c r="K590" i="3"/>
  <c r="I590" i="1"/>
  <c r="K590" i="1" s="1"/>
  <c r="M68" i="4"/>
  <c r="P68" i="4" s="1"/>
  <c r="P70" i="4"/>
  <c r="N603" i="1"/>
  <c r="J619" i="1"/>
  <c r="J628" i="1"/>
  <c r="M222" i="3"/>
  <c r="M220" i="3" s="1"/>
  <c r="M224" i="1"/>
  <c r="K238" i="3"/>
  <c r="I238" i="1"/>
  <c r="K238" i="1" s="1"/>
  <c r="M49" i="7"/>
  <c r="P49" i="7" s="1"/>
  <c r="L49" i="1"/>
  <c r="J86" i="1"/>
  <c r="J92" i="1"/>
  <c r="J93" i="1"/>
  <c r="K630" i="2"/>
  <c r="I630" i="1"/>
  <c r="K634" i="2"/>
  <c r="I634" i="1"/>
  <c r="J380" i="1"/>
  <c r="N383" i="1"/>
  <c r="J397" i="1"/>
  <c r="N401" i="1"/>
  <c r="N405" i="1"/>
  <c r="K477" i="2"/>
  <c r="I477" i="1"/>
  <c r="K477" i="1" s="1"/>
  <c r="K493" i="2"/>
  <c r="I493" i="1"/>
  <c r="K493" i="1" s="1"/>
  <c r="K505" i="2"/>
  <c r="I505" i="1"/>
  <c r="K505" i="1" s="1"/>
  <c r="K509" i="2"/>
  <c r="I509" i="1"/>
  <c r="K509" i="1" s="1"/>
  <c r="I618" i="1"/>
  <c r="K467" i="3"/>
  <c r="I467" i="1"/>
  <c r="K467" i="1" s="1"/>
  <c r="K471" i="3"/>
  <c r="I471" i="1"/>
  <c r="K471" i="1" s="1"/>
  <c r="K475" i="3"/>
  <c r="I475" i="1"/>
  <c r="K475" i="1" s="1"/>
  <c r="K483" i="3"/>
  <c r="I483" i="1"/>
  <c r="K483" i="1" s="1"/>
  <c r="K487" i="3"/>
  <c r="I487" i="1"/>
  <c r="K487" i="1" s="1"/>
  <c r="K495" i="3"/>
  <c r="I495" i="1"/>
  <c r="K495" i="1" s="1"/>
  <c r="K591" i="3"/>
  <c r="I591" i="1"/>
  <c r="K215" i="2"/>
  <c r="I215" i="1"/>
  <c r="N55" i="7"/>
  <c r="N53" i="7" s="1"/>
  <c r="N57" i="1"/>
  <c r="M122" i="1"/>
  <c r="J301" i="1"/>
  <c r="M337" i="2"/>
  <c r="M26" i="2" s="1"/>
  <c r="L337" i="1"/>
  <c r="K533" i="2"/>
  <c r="J533" i="1"/>
  <c r="K424" i="3"/>
  <c r="J424" i="1"/>
  <c r="I176" i="1"/>
  <c r="I110" i="1"/>
  <c r="L61" i="1"/>
  <c r="O61" i="1" s="1"/>
  <c r="I80" i="1"/>
  <c r="I451" i="1"/>
  <c r="N31" i="2"/>
  <c r="N29" i="2" s="1"/>
  <c r="N456" i="1"/>
  <c r="K490" i="2"/>
  <c r="I490" i="1"/>
  <c r="K490" i="1" s="1"/>
  <c r="K514" i="2"/>
  <c r="I514" i="1"/>
  <c r="K514" i="1" s="1"/>
  <c r="N298" i="1"/>
  <c r="J306" i="1"/>
  <c r="K464" i="3"/>
  <c r="I464" i="1"/>
  <c r="K468" i="3"/>
  <c r="I468" i="1"/>
  <c r="K468" i="1" s="1"/>
  <c r="K472" i="3"/>
  <c r="I472" i="1"/>
  <c r="K472" i="1" s="1"/>
  <c r="K476" i="3"/>
  <c r="I476" i="1"/>
  <c r="K476" i="1" s="1"/>
  <c r="K480" i="3"/>
  <c r="I480" i="1"/>
  <c r="K480" i="1" s="1"/>
  <c r="K492" i="3"/>
  <c r="I492" i="1"/>
  <c r="K492" i="1" s="1"/>
  <c r="K496" i="3"/>
  <c r="I496" i="1"/>
  <c r="K496" i="1" s="1"/>
  <c r="I500" i="1"/>
  <c r="K500" i="1" s="1"/>
  <c r="K500" i="3"/>
  <c r="I561" i="1"/>
  <c r="K561" i="1" s="1"/>
  <c r="J219" i="1"/>
  <c r="O354" i="2"/>
  <c r="K427" i="2"/>
  <c r="K466" i="2"/>
  <c r="K474" i="2"/>
  <c r="J621" i="1"/>
  <c r="K624" i="2"/>
  <c r="M292" i="3"/>
  <c r="P292" i="3" s="1"/>
  <c r="K340" i="3"/>
  <c r="K349" i="3"/>
  <c r="K396" i="3"/>
  <c r="K631" i="3"/>
  <c r="O554" i="6"/>
  <c r="L33" i="6"/>
  <c r="O33" i="6" s="1"/>
  <c r="K623" i="7"/>
  <c r="K624" i="7"/>
  <c r="K173" i="10"/>
  <c r="K349" i="11"/>
  <c r="O352" i="11"/>
  <c r="K547" i="11"/>
  <c r="O385" i="13"/>
  <c r="O599" i="16"/>
  <c r="N144" i="1"/>
  <c r="I200" i="1"/>
  <c r="J209" i="1"/>
  <c r="J242" i="1"/>
  <c r="N347" i="1"/>
  <c r="N462" i="1"/>
  <c r="K482" i="2"/>
  <c r="I518" i="1"/>
  <c r="I522" i="1"/>
  <c r="I526" i="1"/>
  <c r="I530" i="1"/>
  <c r="L45" i="3"/>
  <c r="O45" i="3" s="1"/>
  <c r="K65" i="3"/>
  <c r="K80" i="3"/>
  <c r="K88" i="3"/>
  <c r="K113" i="3"/>
  <c r="K199" i="3"/>
  <c r="L254" i="3"/>
  <c r="L252" i="3" s="1"/>
  <c r="N34" i="6"/>
  <c r="N14" i="6" s="1"/>
  <c r="O403" i="6"/>
  <c r="L31" i="6"/>
  <c r="L29" i="6" s="1"/>
  <c r="O29" i="6" s="1"/>
  <c r="N31" i="9"/>
  <c r="N29" i="9" s="1"/>
  <c r="O553" i="12"/>
  <c r="L32" i="12"/>
  <c r="L30" i="12" s="1"/>
  <c r="K580" i="12"/>
  <c r="I511" i="1"/>
  <c r="K511" i="1" s="1"/>
  <c r="L536" i="1"/>
  <c r="O536" i="1" s="1"/>
  <c r="I579" i="1"/>
  <c r="K579" i="1" s="1"/>
  <c r="L600" i="1"/>
  <c r="O600" i="1" s="1"/>
  <c r="J632" i="1"/>
  <c r="L144" i="2"/>
  <c r="L142" i="2" s="1"/>
  <c r="J381" i="1"/>
  <c r="K416" i="2"/>
  <c r="K420" i="2"/>
  <c r="K432" i="2"/>
  <c r="N586" i="1"/>
  <c r="J591" i="1"/>
  <c r="K619" i="2"/>
  <c r="K631" i="2"/>
  <c r="I635" i="1"/>
  <c r="K173" i="3"/>
  <c r="K189" i="3"/>
  <c r="K200" i="3"/>
  <c r="N312" i="3"/>
  <c r="N310" i="3" s="1"/>
  <c r="K109" i="6"/>
  <c r="P314" i="7"/>
  <c r="M312" i="7"/>
  <c r="P312" i="7" s="1"/>
  <c r="N34" i="7"/>
  <c r="N14" i="7" s="1"/>
  <c r="I503" i="1"/>
  <c r="K503" i="1" s="1"/>
  <c r="I507" i="1"/>
  <c r="K507" i="1" s="1"/>
  <c r="L552" i="1"/>
  <c r="O552" i="1" s="1"/>
  <c r="I575" i="1"/>
  <c r="L583" i="1"/>
  <c r="O583" i="1" s="1"/>
  <c r="M57" i="1"/>
  <c r="M55" i="1" s="1"/>
  <c r="M53" i="1" s="1"/>
  <c r="N70" i="1"/>
  <c r="J79" i="1"/>
  <c r="L124" i="1"/>
  <c r="J132" i="1"/>
  <c r="J495" i="1"/>
  <c r="P294" i="7"/>
  <c r="M292" i="7"/>
  <c r="M290" i="7" s="1"/>
  <c r="P290" i="7" s="1"/>
  <c r="L333" i="7"/>
  <c r="O333" i="7" s="1"/>
  <c r="O349" i="7"/>
  <c r="P122" i="9"/>
  <c r="M120" i="9"/>
  <c r="P120" i="9" s="1"/>
  <c r="K173" i="9"/>
  <c r="K189" i="9"/>
  <c r="M292" i="12"/>
  <c r="P292" i="12" s="1"/>
  <c r="P294" i="12"/>
  <c r="I512" i="1"/>
  <c r="K512" i="1" s="1"/>
  <c r="I576" i="1"/>
  <c r="K576" i="1" s="1"/>
  <c r="I580" i="1"/>
  <c r="I596" i="1"/>
  <c r="K596" i="1" s="1"/>
  <c r="I620" i="1"/>
  <c r="J108" i="1"/>
  <c r="O404" i="2"/>
  <c r="N410" i="1"/>
  <c r="N604" i="1"/>
  <c r="N120" i="3"/>
  <c r="N118" i="3" s="1"/>
  <c r="N331" i="3"/>
  <c r="N329" i="3" s="1"/>
  <c r="O535" i="5"/>
  <c r="O552" i="5"/>
  <c r="L31" i="5"/>
  <c r="L29" i="5" s="1"/>
  <c r="O29" i="5" s="1"/>
  <c r="K597" i="5"/>
  <c r="K630" i="5"/>
  <c r="K634" i="5"/>
  <c r="P122" i="7"/>
  <c r="M120" i="7"/>
  <c r="P120" i="7" s="1"/>
  <c r="L98" i="8"/>
  <c r="O98" i="8" s="1"/>
  <c r="L57" i="2"/>
  <c r="L55" i="2" s="1"/>
  <c r="J265" i="1"/>
  <c r="L275" i="2"/>
  <c r="L273" i="2" s="1"/>
  <c r="L271" i="2" s="1"/>
  <c r="K285" i="2"/>
  <c r="J371" i="1"/>
  <c r="O383" i="2"/>
  <c r="K451" i="2"/>
  <c r="O459" i="2"/>
  <c r="K465" i="2"/>
  <c r="K562" i="2"/>
  <c r="K632" i="2"/>
  <c r="K82" i="3"/>
  <c r="P98" i="3"/>
  <c r="K111" i="3"/>
  <c r="K285" i="3"/>
  <c r="K380" i="5"/>
  <c r="O455" i="5"/>
  <c r="K628" i="7"/>
  <c r="K632" i="7"/>
  <c r="L333" i="8"/>
  <c r="L331" i="8" s="1"/>
  <c r="L329" i="8" s="1"/>
  <c r="O601" i="8"/>
  <c r="O349" i="15"/>
  <c r="L34" i="15"/>
  <c r="K634" i="15"/>
  <c r="K370" i="17"/>
  <c r="K398" i="17"/>
  <c r="K402" i="17"/>
  <c r="O459" i="17"/>
  <c r="K465" i="17"/>
  <c r="K80" i="18"/>
  <c r="K88" i="18"/>
  <c r="K176" i="18"/>
  <c r="K416" i="18"/>
  <c r="K420" i="18"/>
  <c r="K424" i="18"/>
  <c r="K428" i="18"/>
  <c r="K498" i="18"/>
  <c r="O597" i="18"/>
  <c r="K219" i="20"/>
  <c r="K497" i="20"/>
  <c r="K340" i="21"/>
  <c r="K349" i="21"/>
  <c r="K547" i="21"/>
  <c r="O551" i="21"/>
  <c r="O582" i="21"/>
  <c r="K158" i="4"/>
  <c r="K341" i="4"/>
  <c r="O551" i="6"/>
  <c r="L294" i="7"/>
  <c r="O294" i="7" s="1"/>
  <c r="O439" i="7"/>
  <c r="K593" i="7"/>
  <c r="K474" i="8"/>
  <c r="O401" i="9"/>
  <c r="O437" i="9"/>
  <c r="K368" i="10"/>
  <c r="K149" i="11"/>
  <c r="K345" i="11"/>
  <c r="K465" i="11"/>
  <c r="N34" i="12"/>
  <c r="N14" i="12" s="1"/>
  <c r="N43" i="14"/>
  <c r="N41" i="14" s="1"/>
  <c r="K345" i="14"/>
  <c r="O383" i="14"/>
  <c r="K81" i="15"/>
  <c r="K372" i="15"/>
  <c r="K402" i="15"/>
  <c r="K423" i="16"/>
  <c r="K616" i="16"/>
  <c r="K235" i="17"/>
  <c r="O435" i="17"/>
  <c r="K81" i="18"/>
  <c r="K499" i="18"/>
  <c r="K573" i="19"/>
  <c r="K423" i="20"/>
  <c r="O439" i="20"/>
  <c r="K93" i="21"/>
  <c r="K138" i="21"/>
  <c r="K216" i="21"/>
  <c r="K265" i="21"/>
  <c r="O459" i="21"/>
  <c r="K465" i="21"/>
  <c r="K93" i="5"/>
  <c r="K419" i="5"/>
  <c r="K427" i="5"/>
  <c r="O439" i="5"/>
  <c r="K474" i="5"/>
  <c r="K138" i="6"/>
  <c r="K396" i="6"/>
  <c r="K591" i="8"/>
  <c r="K328" i="9"/>
  <c r="K473" i="10"/>
  <c r="K113" i="11"/>
  <c r="K199" i="11"/>
  <c r="O435" i="11"/>
  <c r="P70" i="12"/>
  <c r="K173" i="12"/>
  <c r="K235" i="12"/>
  <c r="O457" i="12"/>
  <c r="K235" i="14"/>
  <c r="K372" i="14"/>
  <c r="K427" i="14"/>
  <c r="K431" i="14"/>
  <c r="O435" i="14"/>
  <c r="K189" i="15"/>
  <c r="K200" i="15"/>
  <c r="O354" i="15"/>
  <c r="K635" i="15"/>
  <c r="L122" i="16"/>
  <c r="O122" i="16" s="1"/>
  <c r="L254" i="16"/>
  <c r="L252" i="16" s="1"/>
  <c r="O252" i="16" s="1"/>
  <c r="O347" i="16"/>
  <c r="K416" i="16"/>
  <c r="K424" i="16"/>
  <c r="K428" i="16"/>
  <c r="K432" i="16"/>
  <c r="O580" i="16"/>
  <c r="K93" i="17"/>
  <c r="K132" i="17"/>
  <c r="K229" i="17"/>
  <c r="K345" i="17"/>
  <c r="O349" i="17"/>
  <c r="K340" i="18"/>
  <c r="K375" i="18"/>
  <c r="N33" i="21"/>
  <c r="N13" i="21" s="1"/>
  <c r="K593" i="21"/>
  <c r="K613" i="5"/>
  <c r="K81" i="8"/>
  <c r="K402" i="9"/>
  <c r="O406" i="9"/>
  <c r="N142" i="10"/>
  <c r="N140" i="10" s="1"/>
  <c r="N292" i="10"/>
  <c r="N290" i="10" s="1"/>
  <c r="K580" i="10"/>
  <c r="L57" i="11"/>
  <c r="O57" i="11" s="1"/>
  <c r="N312" i="11"/>
  <c r="N310" i="11" s="1"/>
  <c r="N331" i="13"/>
  <c r="N329" i="13" s="1"/>
  <c r="N120" i="14"/>
  <c r="N118" i="14" s="1"/>
  <c r="N31" i="15"/>
  <c r="N29" i="15" s="1"/>
  <c r="O555" i="18"/>
  <c r="N120" i="19"/>
  <c r="N118" i="19" s="1"/>
  <c r="K481" i="19"/>
  <c r="K64" i="20"/>
  <c r="K466" i="20"/>
  <c r="K474" i="20"/>
  <c r="K108" i="21"/>
  <c r="K229" i="21"/>
  <c r="K481" i="21"/>
  <c r="K612" i="3"/>
  <c r="L45" i="4"/>
  <c r="O45" i="4" s="1"/>
  <c r="N273" i="4"/>
  <c r="N271" i="4" s="1"/>
  <c r="K343" i="5"/>
  <c r="K416" i="5"/>
  <c r="K113" i="7"/>
  <c r="N312" i="9"/>
  <c r="N310" i="9" s="1"/>
  <c r="I367" i="9"/>
  <c r="K367" i="9" s="1"/>
  <c r="K108" i="10"/>
  <c r="N252" i="10"/>
  <c r="N250" i="10" s="1"/>
  <c r="I367" i="11"/>
  <c r="K367" i="11" s="1"/>
  <c r="K377" i="11"/>
  <c r="K547" i="12"/>
  <c r="N142" i="13"/>
  <c r="N140" i="13" s="1"/>
  <c r="N222" i="13"/>
  <c r="N220" i="13" s="1"/>
  <c r="K375" i="13"/>
  <c r="K270" i="14"/>
  <c r="K416" i="14"/>
  <c r="K424" i="14"/>
  <c r="K432" i="14"/>
  <c r="K497" i="14"/>
  <c r="P98" i="15"/>
  <c r="K370" i="15"/>
  <c r="K401" i="15"/>
  <c r="O404" i="15"/>
  <c r="O568" i="15"/>
  <c r="K64" i="18"/>
  <c r="K376" i="18"/>
  <c r="K580" i="18"/>
  <c r="K589" i="18"/>
  <c r="K593" i="18"/>
  <c r="K629" i="18"/>
  <c r="K423" i="19"/>
  <c r="O439" i="19"/>
  <c r="K497" i="19"/>
  <c r="N68" i="20"/>
  <c r="N66" i="20" s="1"/>
  <c r="K83" i="20"/>
  <c r="L57" i="21"/>
  <c r="O57" i="21" s="1"/>
  <c r="K368" i="21"/>
  <c r="K625" i="5"/>
  <c r="O401" i="6"/>
  <c r="O533" i="7"/>
  <c r="K328" i="8"/>
  <c r="O404" i="8"/>
  <c r="K429" i="8"/>
  <c r="K630" i="8"/>
  <c r="K466" i="9"/>
  <c r="L294" i="10"/>
  <c r="O294" i="10" s="1"/>
  <c r="O533" i="10"/>
  <c r="K110" i="11"/>
  <c r="L144" i="11"/>
  <c r="O144" i="11" s="1"/>
  <c r="K621" i="12"/>
  <c r="N331" i="15"/>
  <c r="N329" i="15" s="1"/>
  <c r="N33" i="15"/>
  <c r="N13" i="15" s="1"/>
  <c r="M252" i="16"/>
  <c r="P252" i="16" s="1"/>
  <c r="P333" i="16"/>
  <c r="K375" i="16"/>
  <c r="K380" i="16"/>
  <c r="K450" i="16"/>
  <c r="K499" i="16"/>
  <c r="N331" i="17"/>
  <c r="N329" i="17" s="1"/>
  <c r="K562" i="19"/>
  <c r="N292" i="21"/>
  <c r="N290" i="21" s="1"/>
  <c r="K597" i="3"/>
  <c r="O535" i="4"/>
  <c r="K633" i="4"/>
  <c r="K85" i="5"/>
  <c r="K113" i="5"/>
  <c r="K401" i="5"/>
  <c r="K417" i="5"/>
  <c r="O568" i="5"/>
  <c r="L275" i="6"/>
  <c r="L273" i="6" s="1"/>
  <c r="K285" i="6"/>
  <c r="K368" i="6"/>
  <c r="O566" i="6"/>
  <c r="K422" i="7"/>
  <c r="K426" i="7"/>
  <c r="K430" i="7"/>
  <c r="K450" i="7"/>
  <c r="O568" i="7"/>
  <c r="O599" i="7"/>
  <c r="K615" i="7"/>
  <c r="K481" i="8"/>
  <c r="K497" i="8"/>
  <c r="O535" i="8"/>
  <c r="P144" i="9"/>
  <c r="L224" i="9"/>
  <c r="L254" i="9"/>
  <c r="O254" i="9" s="1"/>
  <c r="L294" i="9"/>
  <c r="O294" i="9" s="1"/>
  <c r="K428" i="9"/>
  <c r="K432" i="9"/>
  <c r="O457" i="9"/>
  <c r="O533" i="9"/>
  <c r="K619" i="9"/>
  <c r="K235" i="10"/>
  <c r="K380" i="10"/>
  <c r="K397" i="10"/>
  <c r="O401" i="10"/>
  <c r="K564" i="10"/>
  <c r="O597" i="10"/>
  <c r="O404" i="11"/>
  <c r="K417" i="11"/>
  <c r="K421" i="11"/>
  <c r="K425" i="11"/>
  <c r="K573" i="11"/>
  <c r="K591" i="11"/>
  <c r="L57" i="12"/>
  <c r="L55" i="12" s="1"/>
  <c r="L53" i="12" s="1"/>
  <c r="K345" i="12"/>
  <c r="O349" i="12"/>
  <c r="O535" i="12"/>
  <c r="L122" i="13"/>
  <c r="O122" i="13" s="1"/>
  <c r="K185" i="13"/>
  <c r="K633" i="13"/>
  <c r="N222" i="14"/>
  <c r="N220" i="14" s="1"/>
  <c r="P333" i="14"/>
  <c r="O404" i="14"/>
  <c r="K380" i="15"/>
  <c r="O459" i="15"/>
  <c r="O568" i="16"/>
  <c r="K422" i="17"/>
  <c r="K430" i="17"/>
  <c r="K435" i="17"/>
  <c r="K591" i="17"/>
  <c r="K635" i="17"/>
  <c r="K158" i="18"/>
  <c r="K497" i="18"/>
  <c r="K624" i="19"/>
  <c r="K186" i="20"/>
  <c r="P294" i="21"/>
  <c r="K573" i="21"/>
  <c r="M22" i="2"/>
  <c r="M12" i="2" s="1"/>
  <c r="K266" i="2"/>
  <c r="L228" i="1"/>
  <c r="O228" i="1" s="1"/>
  <c r="I235" i="1"/>
  <c r="L70" i="2"/>
  <c r="O70" i="2" s="1"/>
  <c r="I87" i="1"/>
  <c r="L46" i="1"/>
  <c r="I65" i="1"/>
  <c r="I83" i="1"/>
  <c r="O568" i="3"/>
  <c r="N96" i="4"/>
  <c r="N94" i="4" s="1"/>
  <c r="N120" i="4"/>
  <c r="N118" i="4" s="1"/>
  <c r="K425" i="5"/>
  <c r="K450" i="5"/>
  <c r="O533" i="5"/>
  <c r="K306" i="6"/>
  <c r="K401" i="6"/>
  <c r="O457" i="6"/>
  <c r="K108" i="7"/>
  <c r="L144" i="7"/>
  <c r="O144" i="7" s="1"/>
  <c r="K341" i="7"/>
  <c r="K533" i="7"/>
  <c r="O553" i="7"/>
  <c r="K498" i="2"/>
  <c r="K580" i="2"/>
  <c r="K589" i="2"/>
  <c r="O599" i="2"/>
  <c r="O599" i="3"/>
  <c r="K633" i="3"/>
  <c r="K132" i="4"/>
  <c r="O459" i="4"/>
  <c r="K465" i="4"/>
  <c r="O564" i="4"/>
  <c r="O568" i="4"/>
  <c r="O354" i="5"/>
  <c r="M22" i="7"/>
  <c r="M12" i="7" s="1"/>
  <c r="M102" i="7"/>
  <c r="P102" i="7" s="1"/>
  <c r="K563" i="8"/>
  <c r="O580" i="8"/>
  <c r="K419" i="9"/>
  <c r="K427" i="9"/>
  <c r="O439" i="9"/>
  <c r="K109" i="10"/>
  <c r="K113" i="10"/>
  <c r="K186" i="10"/>
  <c r="K401" i="10"/>
  <c r="K417" i="10"/>
  <c r="K425" i="10"/>
  <c r="K449" i="10"/>
  <c r="K482" i="10"/>
  <c r="K533" i="10"/>
  <c r="K562" i="10"/>
  <c r="K164" i="11"/>
  <c r="K397" i="11"/>
  <c r="K435" i="11"/>
  <c r="K498" i="11"/>
  <c r="K562" i="11"/>
  <c r="O582" i="11"/>
  <c r="K628" i="11"/>
  <c r="K64" i="12"/>
  <c r="M68" i="12"/>
  <c r="M66" i="12" s="1"/>
  <c r="K149" i="12"/>
  <c r="K199" i="12"/>
  <c r="I367" i="12"/>
  <c r="K367" i="12" s="1"/>
  <c r="K420" i="12"/>
  <c r="K449" i="12"/>
  <c r="P45" i="13"/>
  <c r="M68" i="13"/>
  <c r="P68" i="13" s="1"/>
  <c r="K113" i="13"/>
  <c r="K189" i="13"/>
  <c r="K200" i="13"/>
  <c r="K343" i="13"/>
  <c r="K370" i="13"/>
  <c r="O382" i="15"/>
  <c r="L31" i="15"/>
  <c r="L29" i="15" s="1"/>
  <c r="O29" i="15" s="1"/>
  <c r="K328" i="2"/>
  <c r="K449" i="2"/>
  <c r="K81" i="3"/>
  <c r="M292" i="4"/>
  <c r="M290" i="4" s="1"/>
  <c r="P290" i="4" s="1"/>
  <c r="K402" i="4"/>
  <c r="N142" i="5"/>
  <c r="N140" i="5" s="1"/>
  <c r="K189" i="5"/>
  <c r="K418" i="5"/>
  <c r="K426" i="5"/>
  <c r="K464" i="5"/>
  <c r="K249" i="6"/>
  <c r="K158" i="7"/>
  <c r="P224" i="7"/>
  <c r="K368" i="7"/>
  <c r="K499" i="7"/>
  <c r="O584" i="7"/>
  <c r="L70" i="8"/>
  <c r="O70" i="8" s="1"/>
  <c r="P98" i="8"/>
  <c r="K164" i="8"/>
  <c r="K425" i="8"/>
  <c r="O537" i="8"/>
  <c r="K564" i="8"/>
  <c r="O597" i="8"/>
  <c r="K219" i="9"/>
  <c r="O352" i="9"/>
  <c r="K369" i="9"/>
  <c r="K474" i="9"/>
  <c r="K497" i="9"/>
  <c r="O568" i="9"/>
  <c r="O599" i="9"/>
  <c r="K629" i="9"/>
  <c r="K199" i="10"/>
  <c r="L314" i="10"/>
  <c r="L312" i="10" s="1"/>
  <c r="O312" i="10" s="1"/>
  <c r="O354" i="10"/>
  <c r="K372" i="10"/>
  <c r="P45" i="12"/>
  <c r="O533" i="2"/>
  <c r="O584" i="2"/>
  <c r="K597" i="2"/>
  <c r="K417" i="3"/>
  <c r="K421" i="3"/>
  <c r="O437" i="3"/>
  <c r="K450" i="3"/>
  <c r="K589" i="3"/>
  <c r="K133" i="4"/>
  <c r="K427" i="4"/>
  <c r="O435" i="4"/>
  <c r="O439" i="4"/>
  <c r="O599" i="4"/>
  <c r="N252" i="6"/>
  <c r="N250" i="6" s="1"/>
  <c r="P250" i="6" s="1"/>
  <c r="K547" i="6"/>
  <c r="K419" i="7"/>
  <c r="K431" i="7"/>
  <c r="O435" i="7"/>
  <c r="K370" i="5"/>
  <c r="O599" i="5"/>
  <c r="K620" i="5"/>
  <c r="K623" i="5"/>
  <c r="O380" i="6"/>
  <c r="K628" i="6"/>
  <c r="K110" i="7"/>
  <c r="K591" i="7"/>
  <c r="O49" i="8"/>
  <c r="L57" i="8"/>
  <c r="O57" i="8" s="1"/>
  <c r="N142" i="8"/>
  <c r="N140" i="8" s="1"/>
  <c r="K345" i="8"/>
  <c r="K426" i="8"/>
  <c r="K435" i="8"/>
  <c r="K547" i="8"/>
  <c r="O564" i="8"/>
  <c r="K619" i="8"/>
  <c r="K628" i="8"/>
  <c r="K343" i="10"/>
  <c r="O383" i="10"/>
  <c r="K422" i="10"/>
  <c r="K430" i="10"/>
  <c r="K464" i="10"/>
  <c r="K589" i="10"/>
  <c r="L32" i="11"/>
  <c r="L30" i="11" s="1"/>
  <c r="N222" i="11"/>
  <c r="N220" i="11" s="1"/>
  <c r="K481" i="11"/>
  <c r="N68" i="12"/>
  <c r="N66" i="12" s="1"/>
  <c r="L122" i="12"/>
  <c r="O122" i="12" s="1"/>
  <c r="P275" i="12"/>
  <c r="N31" i="12"/>
  <c r="N29" i="12" s="1"/>
  <c r="O404" i="12"/>
  <c r="O437" i="12"/>
  <c r="K573" i="12"/>
  <c r="O584" i="12"/>
  <c r="O601" i="12"/>
  <c r="K158" i="13"/>
  <c r="K341" i="13"/>
  <c r="K380" i="13"/>
  <c r="N32" i="16"/>
  <c r="N30" i="16" s="1"/>
  <c r="K418" i="2"/>
  <c r="K547" i="2"/>
  <c r="K64" i="3"/>
  <c r="K418" i="3"/>
  <c r="K435" i="3"/>
  <c r="O580" i="3"/>
  <c r="K424" i="4"/>
  <c r="K428" i="4"/>
  <c r="O457" i="4"/>
  <c r="O533" i="4"/>
  <c r="K158" i="5"/>
  <c r="P144" i="6"/>
  <c r="K200" i="6"/>
  <c r="K309" i="6"/>
  <c r="K377" i="6"/>
  <c r="O406" i="6"/>
  <c r="K431" i="6"/>
  <c r="K465" i="6"/>
  <c r="O568" i="6"/>
  <c r="K595" i="6"/>
  <c r="K424" i="7"/>
  <c r="K428" i="7"/>
  <c r="K630" i="7"/>
  <c r="K375" i="9"/>
  <c r="O566" i="9"/>
  <c r="P122" i="10"/>
  <c r="K573" i="10"/>
  <c r="K449" i="11"/>
  <c r="K593" i="11"/>
  <c r="K597" i="11"/>
  <c r="K340" i="12"/>
  <c r="I367" i="2"/>
  <c r="K367" i="2" s="1"/>
  <c r="K376" i="3"/>
  <c r="K396" i="5"/>
  <c r="K432" i="5"/>
  <c r="K449" i="5"/>
  <c r="K563" i="5"/>
  <c r="K629" i="5"/>
  <c r="K633" i="5"/>
  <c r="L98" i="6"/>
  <c r="O98" i="6" s="1"/>
  <c r="K229" i="6"/>
  <c r="L294" i="6"/>
  <c r="O294" i="6" s="1"/>
  <c r="O385" i="6"/>
  <c r="K199" i="7"/>
  <c r="K235" i="7"/>
  <c r="P254" i="7"/>
  <c r="K370" i="7"/>
  <c r="P275" i="8"/>
  <c r="L24" i="9"/>
  <c r="O24" i="9" s="1"/>
  <c r="N55" i="9"/>
  <c r="N53" i="9" s="1"/>
  <c r="N68" i="9"/>
  <c r="N66" i="9" s="1"/>
  <c r="K111" i="9"/>
  <c r="K87" i="10"/>
  <c r="K164" i="10"/>
  <c r="M312" i="10"/>
  <c r="P312" i="10" s="1"/>
  <c r="N331" i="10"/>
  <c r="N329" i="10" s="1"/>
  <c r="K340" i="10"/>
  <c r="O352" i="10"/>
  <c r="K377" i="10"/>
  <c r="K465" i="10"/>
  <c r="N43" i="11"/>
  <c r="N41" i="11" s="1"/>
  <c r="L31" i="12"/>
  <c r="L29" i="12" s="1"/>
  <c r="O29" i="12" s="1"/>
  <c r="N252" i="12"/>
  <c r="N250" i="12" s="1"/>
  <c r="K418" i="12"/>
  <c r="K422" i="12"/>
  <c r="K618" i="12"/>
  <c r="L34" i="13"/>
  <c r="K186" i="13"/>
  <c r="L314" i="13"/>
  <c r="L312" i="13" s="1"/>
  <c r="L310" i="13" s="1"/>
  <c r="O310" i="13" s="1"/>
  <c r="K200" i="2"/>
  <c r="K304" i="2"/>
  <c r="K343" i="2"/>
  <c r="K481" i="2"/>
  <c r="K497" i="2"/>
  <c r="O564" i="2"/>
  <c r="N43" i="3"/>
  <c r="N41" i="3" s="1"/>
  <c r="N68" i="3"/>
  <c r="N66" i="3" s="1"/>
  <c r="L275" i="3"/>
  <c r="L273" i="3" s="1"/>
  <c r="O406" i="3"/>
  <c r="K419" i="3"/>
  <c r="K427" i="3"/>
  <c r="O455" i="3"/>
  <c r="K421" i="4"/>
  <c r="K425" i="4"/>
  <c r="K429" i="4"/>
  <c r="K464" i="4"/>
  <c r="K621" i="5"/>
  <c r="K466" i="6"/>
  <c r="K562" i="6"/>
  <c r="K235" i="8"/>
  <c r="N273" i="8"/>
  <c r="N271" i="8" s="1"/>
  <c r="O439" i="8"/>
  <c r="K482" i="8"/>
  <c r="K533" i="8"/>
  <c r="K580" i="8"/>
  <c r="K633" i="8"/>
  <c r="K372" i="9"/>
  <c r="K376" i="9"/>
  <c r="O380" i="9"/>
  <c r="O459" i="9"/>
  <c r="K564" i="9"/>
  <c r="K158" i="10"/>
  <c r="L333" i="10"/>
  <c r="O333" i="10" s="1"/>
  <c r="K416" i="10"/>
  <c r="K481" i="10"/>
  <c r="N142" i="11"/>
  <c r="N140" i="11" s="1"/>
  <c r="K189" i="11"/>
  <c r="M292" i="11"/>
  <c r="P292" i="11" s="1"/>
  <c r="K401" i="11"/>
  <c r="K429" i="11"/>
  <c r="O437" i="11"/>
  <c r="K497" i="11"/>
  <c r="O535" i="11"/>
  <c r="O564" i="11"/>
  <c r="O597" i="11"/>
  <c r="K631" i="11"/>
  <c r="M252" i="12"/>
  <c r="P252" i="12" s="1"/>
  <c r="K377" i="12"/>
  <c r="K398" i="12"/>
  <c r="K402" i="12"/>
  <c r="O406" i="12"/>
  <c r="K423" i="12"/>
  <c r="K431" i="12"/>
  <c r="O435" i="12"/>
  <c r="K473" i="12"/>
  <c r="K481" i="12"/>
  <c r="K595" i="12"/>
  <c r="K108" i="13"/>
  <c r="N120" i="13"/>
  <c r="N118" i="13" s="1"/>
  <c r="K138" i="13"/>
  <c r="L275" i="13"/>
  <c r="L273" i="13" s="1"/>
  <c r="L271" i="13" s="1"/>
  <c r="K285" i="13"/>
  <c r="K350" i="13"/>
  <c r="K372" i="13"/>
  <c r="K376" i="13"/>
  <c r="M292" i="18"/>
  <c r="P292" i="18" s="1"/>
  <c r="K435" i="13"/>
  <c r="K464" i="13"/>
  <c r="K498" i="13"/>
  <c r="O553" i="13"/>
  <c r="O580" i="13"/>
  <c r="L224" i="14"/>
  <c r="O224" i="14" s="1"/>
  <c r="K349" i="14"/>
  <c r="O437" i="14"/>
  <c r="L254" i="15"/>
  <c r="O254" i="15" s="1"/>
  <c r="K455" i="15"/>
  <c r="K533" i="15"/>
  <c r="K563" i="15"/>
  <c r="K593" i="15"/>
  <c r="K164" i="16"/>
  <c r="K422" i="16"/>
  <c r="K430" i="16"/>
  <c r="O537" i="16"/>
  <c r="O566" i="16"/>
  <c r="K623" i="16"/>
  <c r="K629" i="16"/>
  <c r="K173" i="17"/>
  <c r="K200" i="17"/>
  <c r="K264" i="17"/>
  <c r="O347" i="17"/>
  <c r="K450" i="17"/>
  <c r="O568" i="17"/>
  <c r="K615" i="17"/>
  <c r="N96" i="18"/>
  <c r="N94" i="18" s="1"/>
  <c r="L122" i="18"/>
  <c r="O122" i="18" s="1"/>
  <c r="O352" i="18"/>
  <c r="K370" i="18"/>
  <c r="K396" i="18"/>
  <c r="K401" i="18"/>
  <c r="K481" i="18"/>
  <c r="K547" i="18"/>
  <c r="L32" i="18"/>
  <c r="L30" i="18" s="1"/>
  <c r="P122" i="19"/>
  <c r="K173" i="19"/>
  <c r="K189" i="19"/>
  <c r="L254" i="19"/>
  <c r="O254" i="19" s="1"/>
  <c r="M273" i="19"/>
  <c r="M271" i="19" s="1"/>
  <c r="L294" i="19"/>
  <c r="O294" i="19" s="1"/>
  <c r="K547" i="19"/>
  <c r="O601" i="19"/>
  <c r="L144" i="20"/>
  <c r="L142" i="20" s="1"/>
  <c r="L140" i="20" s="1"/>
  <c r="K164" i="20"/>
  <c r="K185" i="20"/>
  <c r="K265" i="20"/>
  <c r="K270" i="20"/>
  <c r="O599" i="20"/>
  <c r="K629" i="20"/>
  <c r="K633" i="20"/>
  <c r="K149" i="21"/>
  <c r="K249" i="21"/>
  <c r="N252" i="21"/>
  <c r="N250" i="21" s="1"/>
  <c r="O380" i="21"/>
  <c r="K398" i="21"/>
  <c r="K402" i="21"/>
  <c r="O406" i="21"/>
  <c r="K419" i="21"/>
  <c r="K427" i="21"/>
  <c r="K431" i="21"/>
  <c r="O435" i="21"/>
  <c r="K423" i="13"/>
  <c r="O455" i="13"/>
  <c r="K591" i="13"/>
  <c r="P57" i="14"/>
  <c r="K80" i="14"/>
  <c r="L294" i="14"/>
  <c r="O294" i="14" s="1"/>
  <c r="K420" i="14"/>
  <c r="K499" i="14"/>
  <c r="N312" i="15"/>
  <c r="N310" i="15" s="1"/>
  <c r="O537" i="15"/>
  <c r="K368" i="16"/>
  <c r="K451" i="16"/>
  <c r="O455" i="16"/>
  <c r="L34" i="17"/>
  <c r="N292" i="18"/>
  <c r="N290" i="18" s="1"/>
  <c r="O404" i="18"/>
  <c r="O457" i="18"/>
  <c r="K482" i="18"/>
  <c r="K631" i="19"/>
  <c r="N31" i="20"/>
  <c r="N29" i="20" s="1"/>
  <c r="K498" i="20"/>
  <c r="K204" i="21"/>
  <c r="K416" i="13"/>
  <c r="K466" i="13"/>
  <c r="K473" i="13"/>
  <c r="K633" i="14"/>
  <c r="L314" i="15"/>
  <c r="M43" i="16"/>
  <c r="M41" i="16" s="1"/>
  <c r="N273" i="16"/>
  <c r="N271" i="16" s="1"/>
  <c r="K431" i="16"/>
  <c r="N43" i="17"/>
  <c r="N41" i="17" s="1"/>
  <c r="K340" i="17"/>
  <c r="P224" i="18"/>
  <c r="L275" i="18"/>
  <c r="O275" i="18" s="1"/>
  <c r="O352" i="19"/>
  <c r="K401" i="19"/>
  <c r="K464" i="19"/>
  <c r="K149" i="20"/>
  <c r="K450" i="20"/>
  <c r="K499" i="20"/>
  <c r="N120" i="21"/>
  <c r="N118" i="21" s="1"/>
  <c r="K270" i="21"/>
  <c r="K474" i="21"/>
  <c r="K482" i="21"/>
  <c r="K81" i="14"/>
  <c r="K149" i="14"/>
  <c r="L275" i="14"/>
  <c r="O275" i="14" s="1"/>
  <c r="K380" i="14"/>
  <c r="K417" i="14"/>
  <c r="K423" i="15"/>
  <c r="L275" i="16"/>
  <c r="O275" i="16" s="1"/>
  <c r="K466" i="16"/>
  <c r="K473" i="16"/>
  <c r="O535" i="16"/>
  <c r="K563" i="17"/>
  <c r="O566" i="17"/>
  <c r="K597" i="17"/>
  <c r="K620" i="17"/>
  <c r="L294" i="18"/>
  <c r="O294" i="18" s="1"/>
  <c r="K350" i="18"/>
  <c r="O380" i="18"/>
  <c r="O584" i="18"/>
  <c r="K176" i="19"/>
  <c r="K186" i="19"/>
  <c r="L275" i="19"/>
  <c r="L273" i="19" s="1"/>
  <c r="K285" i="19"/>
  <c r="K375" i="19"/>
  <c r="O566" i="19"/>
  <c r="K65" i="20"/>
  <c r="L144" i="21"/>
  <c r="O144" i="21" s="1"/>
  <c r="K173" i="21"/>
  <c r="L275" i="21"/>
  <c r="L273" i="21" s="1"/>
  <c r="L271" i="21" s="1"/>
  <c r="K429" i="21"/>
  <c r="O537" i="21"/>
  <c r="K401" i="13"/>
  <c r="K482" i="13"/>
  <c r="K343" i="14"/>
  <c r="N31" i="14"/>
  <c r="N29" i="14" s="1"/>
  <c r="N43" i="15"/>
  <c r="N41" i="15" s="1"/>
  <c r="P70" i="15"/>
  <c r="K381" i="15"/>
  <c r="K431" i="15"/>
  <c r="K497" i="15"/>
  <c r="L57" i="16"/>
  <c r="O57" i="16" s="1"/>
  <c r="N55" i="17"/>
  <c r="N53" i="17" s="1"/>
  <c r="K341" i="17"/>
  <c r="K420" i="17"/>
  <c r="K424" i="17"/>
  <c r="K428" i="17"/>
  <c r="K432" i="17"/>
  <c r="K474" i="17"/>
  <c r="L57" i="19"/>
  <c r="L55" i="19" s="1"/>
  <c r="N312" i="19"/>
  <c r="N310" i="19" s="1"/>
  <c r="O337" i="19"/>
  <c r="K368" i="19"/>
  <c r="K376" i="19"/>
  <c r="O380" i="19"/>
  <c r="O459" i="19"/>
  <c r="K465" i="19"/>
  <c r="K499" i="19"/>
  <c r="K629" i="19"/>
  <c r="N292" i="20"/>
  <c r="N290" i="20" s="1"/>
  <c r="O352" i="21"/>
  <c r="K425" i="13"/>
  <c r="K450" i="13"/>
  <c r="K562" i="13"/>
  <c r="K580" i="13"/>
  <c r="K589" i="13"/>
  <c r="O347" i="14"/>
  <c r="K425" i="14"/>
  <c r="K597" i="14"/>
  <c r="L45" i="15"/>
  <c r="O45" i="15" s="1"/>
  <c r="K65" i="15"/>
  <c r="K249" i="15"/>
  <c r="K340" i="15"/>
  <c r="K416" i="15"/>
  <c r="K420" i="15"/>
  <c r="K424" i="15"/>
  <c r="K432" i="15"/>
  <c r="O457" i="15"/>
  <c r="O535" i="15"/>
  <c r="K628" i="15"/>
  <c r="L144" i="16"/>
  <c r="L142" i="16" s="1"/>
  <c r="L140" i="16" s="1"/>
  <c r="K200" i="16"/>
  <c r="K341" i="16"/>
  <c r="K396" i="16"/>
  <c r="K615" i="16"/>
  <c r="P49" i="17"/>
  <c r="K81" i="17"/>
  <c r="P102" i="17"/>
  <c r="K109" i="17"/>
  <c r="K199" i="17"/>
  <c r="K267" i="17"/>
  <c r="K350" i="17"/>
  <c r="K401" i="17"/>
  <c r="O457" i="17"/>
  <c r="K499" i="17"/>
  <c r="K564" i="17"/>
  <c r="K573" i="17"/>
  <c r="O584" i="17"/>
  <c r="K343" i="18"/>
  <c r="K381" i="18"/>
  <c r="K551" i="18"/>
  <c r="K560" i="18"/>
  <c r="K564" i="18"/>
  <c r="K625" i="18"/>
  <c r="L98" i="19"/>
  <c r="O98" i="19" s="1"/>
  <c r="K199" i="19"/>
  <c r="K219" i="19"/>
  <c r="K402" i="19"/>
  <c r="O533" i="19"/>
  <c r="K597" i="19"/>
  <c r="L70" i="20"/>
  <c r="O70" i="20" s="1"/>
  <c r="K88" i="20"/>
  <c r="K173" i="20"/>
  <c r="K368" i="20"/>
  <c r="K372" i="20"/>
  <c r="K465" i="20"/>
  <c r="K591" i="20"/>
  <c r="K595" i="20"/>
  <c r="K628" i="20"/>
  <c r="K397" i="21"/>
  <c r="O401" i="21"/>
  <c r="P49" i="8"/>
  <c r="M43" i="8"/>
  <c r="M41" i="8" s="1"/>
  <c r="N292" i="2"/>
  <c r="P292" i="2" s="1"/>
  <c r="K633" i="2"/>
  <c r="K110" i="3"/>
  <c r="P144" i="3"/>
  <c r="P275" i="3"/>
  <c r="J426" i="1"/>
  <c r="P45" i="4"/>
  <c r="P275" i="4"/>
  <c r="K562" i="4"/>
  <c r="I621" i="1"/>
  <c r="I625" i="1"/>
  <c r="K80" i="5"/>
  <c r="K109" i="5"/>
  <c r="N120" i="5"/>
  <c r="N118" i="5" s="1"/>
  <c r="K229" i="5"/>
  <c r="K481" i="5"/>
  <c r="L70" i="6"/>
  <c r="L68" i="6" s="1"/>
  <c r="L66" i="6" s="1"/>
  <c r="O66" i="6" s="1"/>
  <c r="P294" i="6"/>
  <c r="N31" i="6"/>
  <c r="N29" i="6" s="1"/>
  <c r="K423" i="6"/>
  <c r="K455" i="6"/>
  <c r="K474" i="6"/>
  <c r="J622" i="1"/>
  <c r="J626" i="1"/>
  <c r="O352" i="7"/>
  <c r="N55" i="2"/>
  <c r="N53" i="2" s="1"/>
  <c r="N68" i="2"/>
  <c r="N66" i="2" s="1"/>
  <c r="N142" i="2"/>
  <c r="N140" i="2" s="1"/>
  <c r="N222" i="2"/>
  <c r="N220" i="2" s="1"/>
  <c r="P294" i="2"/>
  <c r="K368" i="2"/>
  <c r="K396" i="2"/>
  <c r="K424" i="2"/>
  <c r="J162" i="1"/>
  <c r="J183" i="1"/>
  <c r="J284" i="1"/>
  <c r="L296" i="1"/>
  <c r="J342" i="1"/>
  <c r="N349" i="1"/>
  <c r="I367" i="3"/>
  <c r="K367" i="3" s="1"/>
  <c r="K455" i="3"/>
  <c r="I624" i="1"/>
  <c r="K380" i="4"/>
  <c r="O404" i="4"/>
  <c r="J575" i="1"/>
  <c r="N584" i="1"/>
  <c r="N279" i="1"/>
  <c r="L333" i="5"/>
  <c r="O333" i="5" s="1"/>
  <c r="K349" i="5"/>
  <c r="O406" i="5"/>
  <c r="K423" i="5"/>
  <c r="K431" i="5"/>
  <c r="K108" i="6"/>
  <c r="L122" i="6"/>
  <c r="O122" i="6" s="1"/>
  <c r="L144" i="6"/>
  <c r="O144" i="6" s="1"/>
  <c r="K289" i="6"/>
  <c r="L45" i="7"/>
  <c r="O45" i="7" s="1"/>
  <c r="L98" i="7"/>
  <c r="L96" i="7" s="1"/>
  <c r="L94" i="7" s="1"/>
  <c r="K176" i="7"/>
  <c r="K219" i="7"/>
  <c r="N222" i="7"/>
  <c r="N220" i="7" s="1"/>
  <c r="M273" i="7"/>
  <c r="P273" i="7" s="1"/>
  <c r="K420" i="7"/>
  <c r="O551" i="7"/>
  <c r="O580" i="7"/>
  <c r="P45" i="8"/>
  <c r="I92" i="1"/>
  <c r="K350" i="3"/>
  <c r="K420" i="3"/>
  <c r="K620" i="3"/>
  <c r="N55" i="4"/>
  <c r="N53" i="4" s="1"/>
  <c r="N31" i="4"/>
  <c r="N29" i="4" s="1"/>
  <c r="K81" i="5"/>
  <c r="K173" i="5"/>
  <c r="K375" i="5"/>
  <c r="K482" i="5"/>
  <c r="K428" i="6"/>
  <c r="O435" i="6"/>
  <c r="K464" i="6"/>
  <c r="K564" i="6"/>
  <c r="M68" i="7"/>
  <c r="P68" i="7" s="1"/>
  <c r="L32" i="7"/>
  <c r="L30" i="7" s="1"/>
  <c r="K229" i="2"/>
  <c r="K499" i="2"/>
  <c r="K164" i="3"/>
  <c r="O347" i="3"/>
  <c r="K368" i="3"/>
  <c r="K380" i="3"/>
  <c r="N539" i="1"/>
  <c r="J547" i="1"/>
  <c r="N551" i="1"/>
  <c r="J560" i="1"/>
  <c r="K564" i="3"/>
  <c r="K573" i="3"/>
  <c r="O584" i="3"/>
  <c r="J608" i="1"/>
  <c r="J613" i="1"/>
  <c r="J617" i="1"/>
  <c r="K343" i="4"/>
  <c r="O347" i="4"/>
  <c r="L144" i="5"/>
  <c r="O144" i="5" s="1"/>
  <c r="P224" i="5"/>
  <c r="P45" i="6"/>
  <c r="L314" i="6"/>
  <c r="O314" i="6" s="1"/>
  <c r="K372" i="7"/>
  <c r="K380" i="7"/>
  <c r="O401" i="7"/>
  <c r="K429" i="7"/>
  <c r="O535" i="7"/>
  <c r="K573" i="7"/>
  <c r="K616" i="7"/>
  <c r="M68" i="8"/>
  <c r="M66" i="8" s="1"/>
  <c r="P70" i="8"/>
  <c r="P144" i="2"/>
  <c r="P224" i="2"/>
  <c r="P275" i="2"/>
  <c r="K306" i="2"/>
  <c r="K398" i="2"/>
  <c r="K402" i="2"/>
  <c r="N34" i="2"/>
  <c r="N14" i="2" s="1"/>
  <c r="O568" i="2"/>
  <c r="K93" i="3"/>
  <c r="L98" i="3"/>
  <c r="L96" i="3" s="1"/>
  <c r="J487" i="1"/>
  <c r="N535" i="1"/>
  <c r="J609" i="1"/>
  <c r="I614" i="1"/>
  <c r="K634" i="3"/>
  <c r="J154" i="1"/>
  <c r="J170" i="1"/>
  <c r="J321" i="1"/>
  <c r="J372" i="1"/>
  <c r="J376" i="1"/>
  <c r="N380" i="1"/>
  <c r="I435" i="1"/>
  <c r="J475" i="1"/>
  <c r="J516" i="1"/>
  <c r="J520" i="1"/>
  <c r="J524" i="1"/>
  <c r="J528" i="1"/>
  <c r="J532" i="1"/>
  <c r="N540" i="1"/>
  <c r="N554" i="1"/>
  <c r="N602" i="1"/>
  <c r="I615" i="1"/>
  <c r="K64" i="5"/>
  <c r="K266" i="5"/>
  <c r="K420" i="5"/>
  <c r="K424" i="5"/>
  <c r="K533" i="5"/>
  <c r="K421" i="6"/>
  <c r="O459" i="6"/>
  <c r="N32" i="7"/>
  <c r="N30" i="7" s="1"/>
  <c r="N33" i="2"/>
  <c r="N13" i="2" s="1"/>
  <c r="K615" i="2"/>
  <c r="N55" i="3"/>
  <c r="N53" i="3" s="1"/>
  <c r="K83" i="3"/>
  <c r="J112" i="1"/>
  <c r="N142" i="3"/>
  <c r="N140" i="3" s="1"/>
  <c r="K158" i="3"/>
  <c r="N273" i="3"/>
  <c r="N271" i="3" s="1"/>
  <c r="O380" i="3"/>
  <c r="K449" i="3"/>
  <c r="N597" i="1"/>
  <c r="J87" i="1"/>
  <c r="J130" i="1"/>
  <c r="J155" i="1"/>
  <c r="J171" i="1"/>
  <c r="J181" i="1"/>
  <c r="K199" i="4"/>
  <c r="L254" i="4"/>
  <c r="O254" i="4" s="1"/>
  <c r="K381" i="4"/>
  <c r="K533" i="4"/>
  <c r="N252" i="5"/>
  <c r="N250" i="5" s="1"/>
  <c r="K397" i="5"/>
  <c r="K466" i="5"/>
  <c r="K110" i="6"/>
  <c r="N68" i="7"/>
  <c r="N66" i="7" s="1"/>
  <c r="K200" i="7"/>
  <c r="L275" i="7"/>
  <c r="O275" i="7" s="1"/>
  <c r="K340" i="7"/>
  <c r="K455" i="7"/>
  <c r="P57" i="8"/>
  <c r="N43" i="2"/>
  <c r="N41" i="2" s="1"/>
  <c r="K612" i="2"/>
  <c r="L70" i="3"/>
  <c r="O70" i="3" s="1"/>
  <c r="M142" i="3"/>
  <c r="M140" i="3" s="1"/>
  <c r="K341" i="3"/>
  <c r="O457" i="3"/>
  <c r="K474" i="3"/>
  <c r="K499" i="3"/>
  <c r="K562" i="3"/>
  <c r="O564" i="3"/>
  <c r="L98" i="4"/>
  <c r="L96" i="4" s="1"/>
  <c r="O96" i="4" s="1"/>
  <c r="K65" i="5"/>
  <c r="K370" i="6"/>
  <c r="K430" i="6"/>
  <c r="K449" i="6"/>
  <c r="K481" i="6"/>
  <c r="K499" i="6"/>
  <c r="K533" i="6"/>
  <c r="L32" i="6"/>
  <c r="L30" i="6" s="1"/>
  <c r="L70" i="7"/>
  <c r="L68" i="7" s="1"/>
  <c r="O68" i="7" s="1"/>
  <c r="O582" i="7"/>
  <c r="K595" i="7"/>
  <c r="L224" i="2"/>
  <c r="L222" i="2" s="1"/>
  <c r="P254" i="2"/>
  <c r="P314" i="2"/>
  <c r="K345" i="2"/>
  <c r="O455" i="2"/>
  <c r="K473" i="2"/>
  <c r="O537" i="2"/>
  <c r="K591" i="2"/>
  <c r="O597" i="2"/>
  <c r="L57" i="3"/>
  <c r="O57" i="3" s="1"/>
  <c r="K109" i="3"/>
  <c r="K345" i="3"/>
  <c r="K377" i="3"/>
  <c r="K381" i="3"/>
  <c r="J481" i="1"/>
  <c r="J510" i="1"/>
  <c r="K626" i="3"/>
  <c r="O385" i="4"/>
  <c r="K84" i="5"/>
  <c r="N222" i="5"/>
  <c r="P222" i="5" s="1"/>
  <c r="K430" i="5"/>
  <c r="O537" i="5"/>
  <c r="K564" i="5"/>
  <c r="K573" i="5"/>
  <c r="N120" i="6"/>
  <c r="N118" i="6" s="1"/>
  <c r="O533" i="6"/>
  <c r="O537" i="6"/>
  <c r="K563" i="6"/>
  <c r="O601" i="6"/>
  <c r="I631" i="1"/>
  <c r="K185" i="7"/>
  <c r="L314" i="7"/>
  <c r="L312" i="7" s="1"/>
  <c r="K464" i="7"/>
  <c r="K455" i="8"/>
  <c r="K498" i="8"/>
  <c r="K593" i="8"/>
  <c r="K83" i="9"/>
  <c r="K93" i="9"/>
  <c r="L98" i="9"/>
  <c r="O98" i="9" s="1"/>
  <c r="N142" i="9"/>
  <c r="N140" i="9" s="1"/>
  <c r="K200" i="9"/>
  <c r="O354" i="9"/>
  <c r="L70" i="11"/>
  <c r="L68" i="11" s="1"/>
  <c r="L66" i="11" s="1"/>
  <c r="K396" i="11"/>
  <c r="K464" i="11"/>
  <c r="K533" i="11"/>
  <c r="K158" i="12"/>
  <c r="L333" i="12"/>
  <c r="O333" i="12" s="1"/>
  <c r="K591" i="12"/>
  <c r="O597" i="12"/>
  <c r="N68" i="13"/>
  <c r="N66" i="13" s="1"/>
  <c r="K111" i="13"/>
  <c r="M312" i="13"/>
  <c r="P312" i="13" s="1"/>
  <c r="K626" i="13"/>
  <c r="K219" i="8"/>
  <c r="N222" i="8"/>
  <c r="N220" i="8" s="1"/>
  <c r="P220" i="8" s="1"/>
  <c r="K350" i="8"/>
  <c r="K402" i="8"/>
  <c r="K422" i="8"/>
  <c r="K465" i="9"/>
  <c r="K498" i="9"/>
  <c r="O597" i="9"/>
  <c r="P45" i="10"/>
  <c r="N96" i="10"/>
  <c r="N94" i="10" s="1"/>
  <c r="P294" i="10"/>
  <c r="O347" i="10"/>
  <c r="K421" i="10"/>
  <c r="K429" i="10"/>
  <c r="O566" i="10"/>
  <c r="N32" i="11"/>
  <c r="N30" i="11" s="1"/>
  <c r="O380" i="12"/>
  <c r="K397" i="12"/>
  <c r="K466" i="12"/>
  <c r="K617" i="12"/>
  <c r="M120" i="13"/>
  <c r="P120" i="13" s="1"/>
  <c r="K270" i="13"/>
  <c r="K430" i="13"/>
  <c r="K564" i="13"/>
  <c r="O584" i="13"/>
  <c r="K85" i="14"/>
  <c r="K200" i="14"/>
  <c r="I367" i="14"/>
  <c r="K367" i="14" s="1"/>
  <c r="O401" i="14"/>
  <c r="K563" i="14"/>
  <c r="K589" i="14"/>
  <c r="K623" i="14"/>
  <c r="K626" i="14"/>
  <c r="K112" i="15"/>
  <c r="K216" i="15"/>
  <c r="M55" i="18"/>
  <c r="M53" i="18" s="1"/>
  <c r="M22" i="18"/>
  <c r="M12" i="18" s="1"/>
  <c r="N43" i="21"/>
  <c r="N41" i="21" s="1"/>
  <c r="K343" i="8"/>
  <c r="N33" i="8"/>
  <c r="N13" i="8" s="1"/>
  <c r="K423" i="8"/>
  <c r="O455" i="8"/>
  <c r="K499" i="8"/>
  <c r="K88" i="9"/>
  <c r="K109" i="9"/>
  <c r="L122" i="9"/>
  <c r="L120" i="9" s="1"/>
  <c r="L118" i="9" s="1"/>
  <c r="O118" i="9" s="1"/>
  <c r="L275" i="9"/>
  <c r="O275" i="9" s="1"/>
  <c r="O347" i="9"/>
  <c r="K418" i="9"/>
  <c r="K473" i="9"/>
  <c r="N312" i="10"/>
  <c r="N310" i="10" s="1"/>
  <c r="K341" i="10"/>
  <c r="K418" i="10"/>
  <c r="K426" i="10"/>
  <c r="K455" i="10"/>
  <c r="O457" i="10"/>
  <c r="K270" i="11"/>
  <c r="L275" i="11"/>
  <c r="O275" i="11" s="1"/>
  <c r="L333" i="11"/>
  <c r="O333" i="11" s="1"/>
  <c r="K340" i="11"/>
  <c r="O401" i="11"/>
  <c r="O533" i="11"/>
  <c r="O537" i="11"/>
  <c r="K630" i="11"/>
  <c r="K381" i="12"/>
  <c r="K533" i="12"/>
  <c r="K564" i="12"/>
  <c r="N43" i="13"/>
  <c r="N41" i="13" s="1"/>
  <c r="P294" i="13"/>
  <c r="K620" i="14"/>
  <c r="K199" i="8"/>
  <c r="O347" i="8"/>
  <c r="K381" i="8"/>
  <c r="O385" i="8"/>
  <c r="K427" i="8"/>
  <c r="O435" i="8"/>
  <c r="O459" i="8"/>
  <c r="K465" i="8"/>
  <c r="K473" i="8"/>
  <c r="K81" i="9"/>
  <c r="K377" i="9"/>
  <c r="K132" i="11"/>
  <c r="K369" i="11"/>
  <c r="K621" i="11"/>
  <c r="K634" i="11"/>
  <c r="K370" i="12"/>
  <c r="O347" i="13"/>
  <c r="K397" i="13"/>
  <c r="K417" i="13"/>
  <c r="K421" i="13"/>
  <c r="O535" i="13"/>
  <c r="O555" i="13"/>
  <c r="K597" i="13"/>
  <c r="K624" i="13"/>
  <c r="P70" i="14"/>
  <c r="M96" i="14"/>
  <c r="M94" i="14" s="1"/>
  <c r="P94" i="14" s="1"/>
  <c r="K377" i="14"/>
  <c r="O385" i="14"/>
  <c r="K418" i="14"/>
  <c r="K564" i="14"/>
  <c r="K628" i="14"/>
  <c r="N26" i="15"/>
  <c r="N16" i="15" s="1"/>
  <c r="K158" i="15"/>
  <c r="N222" i="15"/>
  <c r="N220" i="15" s="1"/>
  <c r="K266" i="15"/>
  <c r="L294" i="15"/>
  <c r="L292" i="15" s="1"/>
  <c r="L290" i="15" s="1"/>
  <c r="O290" i="15" s="1"/>
  <c r="M120" i="16"/>
  <c r="M118" i="16" s="1"/>
  <c r="P118" i="16" s="1"/>
  <c r="P122" i="16"/>
  <c r="N120" i="8"/>
  <c r="N118" i="8" s="1"/>
  <c r="N31" i="8"/>
  <c r="N11" i="8" s="1"/>
  <c r="N9" i="8" s="1"/>
  <c r="K341" i="11"/>
  <c r="N33" i="11"/>
  <c r="N13" i="11" s="1"/>
  <c r="K563" i="11"/>
  <c r="L224" i="12"/>
  <c r="L222" i="12" s="1"/>
  <c r="K285" i="12"/>
  <c r="L294" i="12"/>
  <c r="L292" i="12" s="1"/>
  <c r="K350" i="12"/>
  <c r="O354" i="12"/>
  <c r="K455" i="12"/>
  <c r="K482" i="12"/>
  <c r="K589" i="12"/>
  <c r="K593" i="12"/>
  <c r="K611" i="12"/>
  <c r="K235" i="13"/>
  <c r="N292" i="14"/>
  <c r="N290" i="14" s="1"/>
  <c r="K328" i="14"/>
  <c r="K340" i="14"/>
  <c r="K419" i="14"/>
  <c r="K423" i="14"/>
  <c r="K430" i="14"/>
  <c r="L122" i="8"/>
  <c r="O122" i="8" s="1"/>
  <c r="K264" i="8"/>
  <c r="L294" i="8"/>
  <c r="L292" i="8" s="1"/>
  <c r="K428" i="8"/>
  <c r="K432" i="8"/>
  <c r="K466" i="8"/>
  <c r="N43" i="9"/>
  <c r="N41" i="9" s="1"/>
  <c r="K64" i="9"/>
  <c r="K229" i="9"/>
  <c r="K381" i="9"/>
  <c r="O385" i="9"/>
  <c r="K455" i="9"/>
  <c r="K219" i="10"/>
  <c r="K370" i="10"/>
  <c r="O380" i="10"/>
  <c r="K591" i="10"/>
  <c r="K630" i="10"/>
  <c r="K64" i="11"/>
  <c r="K133" i="11"/>
  <c r="L314" i="11"/>
  <c r="O314" i="11" s="1"/>
  <c r="K473" i="11"/>
  <c r="K626" i="12"/>
  <c r="O49" i="13"/>
  <c r="K109" i="13"/>
  <c r="O352" i="13"/>
  <c r="K398" i="13"/>
  <c r="K422" i="13"/>
  <c r="O459" i="13"/>
  <c r="K533" i="13"/>
  <c r="N22" i="14"/>
  <c r="M22" i="14"/>
  <c r="P294" i="14"/>
  <c r="K396" i="14"/>
  <c r="O564" i="14"/>
  <c r="K595" i="14"/>
  <c r="K629" i="14"/>
  <c r="K92" i="15"/>
  <c r="N96" i="15"/>
  <c r="N94" i="15" s="1"/>
  <c r="K110" i="15"/>
  <c r="K149" i="15"/>
  <c r="N34" i="18"/>
  <c r="N14" i="18" s="1"/>
  <c r="K589" i="8"/>
  <c r="K629" i="8"/>
  <c r="K370" i="9"/>
  <c r="K430" i="9"/>
  <c r="K482" i="9"/>
  <c r="K200" i="10"/>
  <c r="N33" i="10"/>
  <c r="N13" i="10" s="1"/>
  <c r="K432" i="10"/>
  <c r="O439" i="10"/>
  <c r="K497" i="10"/>
  <c r="N331" i="11"/>
  <c r="N329" i="11" s="1"/>
  <c r="O385" i="11"/>
  <c r="K589" i="11"/>
  <c r="M22" i="12"/>
  <c r="M12" i="12" s="1"/>
  <c r="K497" i="12"/>
  <c r="K623" i="12"/>
  <c r="K628" i="12"/>
  <c r="K563" i="13"/>
  <c r="N96" i="14"/>
  <c r="N94" i="14" s="1"/>
  <c r="N142" i="14"/>
  <c r="N140" i="14" s="1"/>
  <c r="N312" i="14"/>
  <c r="N310" i="14" s="1"/>
  <c r="K625" i="14"/>
  <c r="K630" i="14"/>
  <c r="K634" i="14"/>
  <c r="K64" i="15"/>
  <c r="K235" i="15"/>
  <c r="M292" i="15"/>
  <c r="P292" i="15" s="1"/>
  <c r="K132" i="8"/>
  <c r="L314" i="8"/>
  <c r="O314" i="8" s="1"/>
  <c r="K341" i="8"/>
  <c r="I367" i="8"/>
  <c r="K367" i="8" s="1"/>
  <c r="K375" i="8"/>
  <c r="K397" i="8"/>
  <c r="O401" i="8"/>
  <c r="K449" i="8"/>
  <c r="O349" i="9"/>
  <c r="K597" i="9"/>
  <c r="K81" i="10"/>
  <c r="K328" i="10"/>
  <c r="K350" i="10"/>
  <c r="N31" i="10"/>
  <c r="N29" i="10" s="1"/>
  <c r="K466" i="10"/>
  <c r="K109" i="11"/>
  <c r="K474" i="11"/>
  <c r="K164" i="12"/>
  <c r="N273" i="12"/>
  <c r="N271" i="12" s="1"/>
  <c r="M312" i="12"/>
  <c r="P312" i="12" s="1"/>
  <c r="K328" i="12"/>
  <c r="K349" i="12"/>
  <c r="K498" i="12"/>
  <c r="K92" i="13"/>
  <c r="N252" i="13"/>
  <c r="N250" i="13" s="1"/>
  <c r="O533" i="13"/>
  <c r="N31" i="13"/>
  <c r="N29" i="13" s="1"/>
  <c r="L45" i="14"/>
  <c r="L43" i="14" s="1"/>
  <c r="K64" i="14"/>
  <c r="K199" i="14"/>
  <c r="L314" i="14"/>
  <c r="L312" i="14" s="1"/>
  <c r="P337" i="14"/>
  <c r="O349" i="14"/>
  <c r="K401" i="14"/>
  <c r="O455" i="14"/>
  <c r="O537" i="14"/>
  <c r="K562" i="14"/>
  <c r="O582" i="14"/>
  <c r="K93" i="15"/>
  <c r="K111" i="15"/>
  <c r="K264" i="15"/>
  <c r="P45" i="16"/>
  <c r="K422" i="15"/>
  <c r="K426" i="15"/>
  <c r="K430" i="15"/>
  <c r="K450" i="15"/>
  <c r="K158" i="16"/>
  <c r="K176" i="16"/>
  <c r="K420" i="16"/>
  <c r="O439" i="16"/>
  <c r="K597" i="16"/>
  <c r="K620" i="16"/>
  <c r="N26" i="17"/>
  <c r="N16" i="17" s="1"/>
  <c r="K85" i="17"/>
  <c r="K133" i="17"/>
  <c r="P57" i="18"/>
  <c r="N142" i="18"/>
  <c r="N140" i="18" s="1"/>
  <c r="N222" i="18"/>
  <c r="P222" i="18" s="1"/>
  <c r="K349" i="18"/>
  <c r="O383" i="18"/>
  <c r="K473" i="18"/>
  <c r="K562" i="18"/>
  <c r="K635" i="18"/>
  <c r="K84" i="19"/>
  <c r="O347" i="19"/>
  <c r="K397" i="19"/>
  <c r="K421" i="19"/>
  <c r="K425" i="19"/>
  <c r="K432" i="19"/>
  <c r="N31" i="19"/>
  <c r="N29" i="19" s="1"/>
  <c r="O568" i="19"/>
  <c r="K575" i="19"/>
  <c r="K200" i="20"/>
  <c r="K328" i="20"/>
  <c r="O404" i="20"/>
  <c r="K186" i="21"/>
  <c r="O455" i="21"/>
  <c r="K533" i="21"/>
  <c r="L333" i="15"/>
  <c r="O333" i="15" s="1"/>
  <c r="K349" i="15"/>
  <c r="K419" i="15"/>
  <c r="L23" i="16"/>
  <c r="O23" i="16" s="1"/>
  <c r="K149" i="16"/>
  <c r="K285" i="16"/>
  <c r="K343" i="16"/>
  <c r="K350" i="16"/>
  <c r="K417" i="16"/>
  <c r="K449" i="16"/>
  <c r="O459" i="16"/>
  <c r="K465" i="16"/>
  <c r="K113" i="17"/>
  <c r="K368" i="17"/>
  <c r="K375" i="17"/>
  <c r="K419" i="17"/>
  <c r="K427" i="17"/>
  <c r="K455" i="17"/>
  <c r="K481" i="17"/>
  <c r="O537" i="17"/>
  <c r="O580" i="17"/>
  <c r="K65" i="18"/>
  <c r="K83" i="18"/>
  <c r="K149" i="18"/>
  <c r="K425" i="18"/>
  <c r="K429" i="18"/>
  <c r="N33" i="18"/>
  <c r="N13" i="18" s="1"/>
  <c r="L57" i="20"/>
  <c r="O57" i="20" s="1"/>
  <c r="K235" i="20"/>
  <c r="K375" i="20"/>
  <c r="K380" i="20"/>
  <c r="K589" i="20"/>
  <c r="O349" i="21"/>
  <c r="K375" i="21"/>
  <c r="O383" i="21"/>
  <c r="K427" i="15"/>
  <c r="K435" i="15"/>
  <c r="K464" i="15"/>
  <c r="K481" i="15"/>
  <c r="K199" i="16"/>
  <c r="K340" i="16"/>
  <c r="K372" i="16"/>
  <c r="K376" i="16"/>
  <c r="O380" i="16"/>
  <c r="K498" i="16"/>
  <c r="K547" i="16"/>
  <c r="K591" i="16"/>
  <c r="K110" i="17"/>
  <c r="K372" i="17"/>
  <c r="K380" i="17"/>
  <c r="N31" i="17"/>
  <c r="N29" i="17" s="1"/>
  <c r="L98" i="18"/>
  <c r="O98" i="18" s="1"/>
  <c r="N252" i="18"/>
  <c r="N250" i="18" s="1"/>
  <c r="L314" i="18"/>
  <c r="O314" i="18" s="1"/>
  <c r="K474" i="18"/>
  <c r="O537" i="18"/>
  <c r="L144" i="19"/>
  <c r="K349" i="19"/>
  <c r="K398" i="19"/>
  <c r="K418" i="19"/>
  <c r="K426" i="19"/>
  <c r="K474" i="19"/>
  <c r="K345" i="20"/>
  <c r="O349" i="20"/>
  <c r="K426" i="20"/>
  <c r="K430" i="20"/>
  <c r="K435" i="20"/>
  <c r="K464" i="20"/>
  <c r="P45" i="21"/>
  <c r="P122" i="21"/>
  <c r="K219" i="21"/>
  <c r="L314" i="21"/>
  <c r="L312" i="21" s="1"/>
  <c r="O312" i="21" s="1"/>
  <c r="K597" i="21"/>
  <c r="K580" i="15"/>
  <c r="N55" i="16"/>
  <c r="N53" i="16" s="1"/>
  <c r="N222" i="17"/>
  <c r="P222" i="17" s="1"/>
  <c r="N32" i="17"/>
  <c r="N30" i="17" s="1"/>
  <c r="K547" i="17"/>
  <c r="K629" i="17"/>
  <c r="N222" i="19"/>
  <c r="N220" i="19" s="1"/>
  <c r="K635" i="19"/>
  <c r="L26" i="20"/>
  <c r="L16" i="20" s="1"/>
  <c r="O380" i="20"/>
  <c r="K398" i="20"/>
  <c r="O455" i="20"/>
  <c r="K564" i="20"/>
  <c r="K350" i="21"/>
  <c r="K551" i="21"/>
  <c r="K564" i="21"/>
  <c r="O580" i="21"/>
  <c r="K397" i="15"/>
  <c r="O455" i="15"/>
  <c r="K465" i="15"/>
  <c r="K482" i="15"/>
  <c r="O564" i="15"/>
  <c r="P49" i="16"/>
  <c r="L98" i="16"/>
  <c r="L96" i="16" s="1"/>
  <c r="K173" i="16"/>
  <c r="K219" i="16"/>
  <c r="O352" i="16"/>
  <c r="K381" i="16"/>
  <c r="K580" i="16"/>
  <c r="K595" i="16"/>
  <c r="N68" i="17"/>
  <c r="N66" i="17" s="1"/>
  <c r="L98" i="17"/>
  <c r="L96" i="17" s="1"/>
  <c r="L94" i="17" s="1"/>
  <c r="K219" i="17"/>
  <c r="N292" i="17"/>
  <c r="N290" i="17" s="1"/>
  <c r="K343" i="17"/>
  <c r="O455" i="17"/>
  <c r="K199" i="18"/>
  <c r="K398" i="18"/>
  <c r="K422" i="18"/>
  <c r="K573" i="18"/>
  <c r="K64" i="19"/>
  <c r="L224" i="19"/>
  <c r="O224" i="19" s="1"/>
  <c r="O406" i="19"/>
  <c r="K419" i="19"/>
  <c r="K435" i="19"/>
  <c r="N32" i="19"/>
  <c r="N30" i="19" s="1"/>
  <c r="L98" i="20"/>
  <c r="O98" i="20" s="1"/>
  <c r="O535" i="20"/>
  <c r="K630" i="20"/>
  <c r="K109" i="21"/>
  <c r="K113" i="21"/>
  <c r="K376" i="21"/>
  <c r="K449" i="21"/>
  <c r="K473" i="21"/>
  <c r="K630" i="21"/>
  <c r="K421" i="15"/>
  <c r="K428" i="15"/>
  <c r="O584" i="15"/>
  <c r="L70" i="16"/>
  <c r="O70" i="16" s="1"/>
  <c r="P294" i="16"/>
  <c r="L34" i="16"/>
  <c r="K419" i="16"/>
  <c r="K427" i="16"/>
  <c r="K619" i="16"/>
  <c r="P294" i="17"/>
  <c r="K417" i="17"/>
  <c r="O564" i="17"/>
  <c r="O582" i="17"/>
  <c r="N43" i="18"/>
  <c r="N41" i="18" s="1"/>
  <c r="K368" i="18"/>
  <c r="O385" i="18"/>
  <c r="K419" i="18"/>
  <c r="K427" i="18"/>
  <c r="K431" i="18"/>
  <c r="O435" i="18"/>
  <c r="O455" i="18"/>
  <c r="K630" i="18"/>
  <c r="K117" i="20"/>
  <c r="L314" i="20"/>
  <c r="O314" i="20" s="1"/>
  <c r="O354" i="20"/>
  <c r="K419" i="20"/>
  <c r="O459" i="20"/>
  <c r="O564" i="20"/>
  <c r="K573" i="20"/>
  <c r="K200" i="21"/>
  <c r="K417" i="21"/>
  <c r="O564" i="21"/>
  <c r="K350" i="15"/>
  <c r="K368" i="15"/>
  <c r="K398" i="15"/>
  <c r="K425" i="15"/>
  <c r="K429" i="15"/>
  <c r="O597" i="15"/>
  <c r="K185" i="16"/>
  <c r="L294" i="16"/>
  <c r="L292" i="16" s="1"/>
  <c r="O292" i="16" s="1"/>
  <c r="O349" i="16"/>
  <c r="O435" i="16"/>
  <c r="K474" i="16"/>
  <c r="N33" i="16"/>
  <c r="N13" i="16" s="1"/>
  <c r="K562" i="16"/>
  <c r="K593" i="16"/>
  <c r="K628" i="16"/>
  <c r="O102" i="17"/>
  <c r="K158" i="17"/>
  <c r="L254" i="17"/>
  <c r="L252" i="17" s="1"/>
  <c r="N312" i="17"/>
  <c r="N310" i="17" s="1"/>
  <c r="L333" i="17"/>
  <c r="O333" i="17" s="1"/>
  <c r="O352" i="17"/>
  <c r="K377" i="17"/>
  <c r="K429" i="17"/>
  <c r="K449" i="17"/>
  <c r="K473" i="17"/>
  <c r="K533" i="17"/>
  <c r="K562" i="17"/>
  <c r="K634" i="17"/>
  <c r="L45" i="18"/>
  <c r="O45" i="18" s="1"/>
  <c r="M68" i="18"/>
  <c r="M66" i="18" s="1"/>
  <c r="K185" i="18"/>
  <c r="O568" i="18"/>
  <c r="K595" i="18"/>
  <c r="O601" i="18"/>
  <c r="K65" i="19"/>
  <c r="K158" i="19"/>
  <c r="K235" i="19"/>
  <c r="N273" i="19"/>
  <c r="N271" i="19" s="1"/>
  <c r="L314" i="19"/>
  <c r="O314" i="19" s="1"/>
  <c r="K420" i="19"/>
  <c r="K564" i="19"/>
  <c r="P45" i="20"/>
  <c r="L122" i="20"/>
  <c r="L120" i="20" s="1"/>
  <c r="L118" i="20" s="1"/>
  <c r="K199" i="20"/>
  <c r="N222" i="20"/>
  <c r="N220" i="20" s="1"/>
  <c r="O347" i="20"/>
  <c r="K381" i="20"/>
  <c r="K428" i="20"/>
  <c r="K473" i="20"/>
  <c r="O568" i="20"/>
  <c r="K622" i="20"/>
  <c r="O49" i="21"/>
  <c r="O347" i="21"/>
  <c r="K418" i="21"/>
  <c r="K426" i="21"/>
  <c r="K450" i="21"/>
  <c r="K455" i="21"/>
  <c r="O457" i="21"/>
  <c r="O535" i="21"/>
  <c r="K595" i="21"/>
  <c r="L31" i="14"/>
  <c r="O456" i="14"/>
  <c r="L31" i="21"/>
  <c r="L11" i="21" s="1"/>
  <c r="O382" i="21"/>
  <c r="M98" i="1"/>
  <c r="I189" i="1"/>
  <c r="L276" i="1"/>
  <c r="I328" i="1"/>
  <c r="I369" i="1"/>
  <c r="L438" i="1"/>
  <c r="O438" i="1" s="1"/>
  <c r="N458" i="1"/>
  <c r="I486" i="1"/>
  <c r="K486" i="1" s="1"/>
  <c r="I513" i="1"/>
  <c r="K513" i="1" s="1"/>
  <c r="L535" i="1"/>
  <c r="L551" i="1"/>
  <c r="I564" i="1"/>
  <c r="L294" i="2"/>
  <c r="O294" i="2" s="1"/>
  <c r="N32" i="2"/>
  <c r="N30" i="2" s="1"/>
  <c r="O352" i="3"/>
  <c r="L32" i="3"/>
  <c r="L30" i="3" s="1"/>
  <c r="K372" i="3"/>
  <c r="K533" i="3"/>
  <c r="O535" i="3"/>
  <c r="L601" i="1"/>
  <c r="O601" i="3"/>
  <c r="K617" i="3"/>
  <c r="O383" i="4"/>
  <c r="K563" i="4"/>
  <c r="O581" i="4"/>
  <c r="L581" i="1"/>
  <c r="O581" i="1" s="1"/>
  <c r="P333" i="5"/>
  <c r="K340" i="5"/>
  <c r="N22" i="7"/>
  <c r="N43" i="7"/>
  <c r="N41" i="7" s="1"/>
  <c r="P45" i="7"/>
  <c r="M45" i="1"/>
  <c r="I173" i="1"/>
  <c r="I377" i="1"/>
  <c r="I381" i="1"/>
  <c r="L567" i="1"/>
  <c r="O567" i="1" s="1"/>
  <c r="K132" i="2"/>
  <c r="K270" i="2"/>
  <c r="L294" i="3"/>
  <c r="O294" i="3" s="1"/>
  <c r="N32" i="3"/>
  <c r="N30" i="3" s="1"/>
  <c r="K430" i="3"/>
  <c r="K481" i="3"/>
  <c r="J160" i="1"/>
  <c r="L224" i="4"/>
  <c r="L222" i="4" s="1"/>
  <c r="O380" i="4"/>
  <c r="L122" i="5"/>
  <c r="K595" i="3"/>
  <c r="I595" i="1"/>
  <c r="M292" i="5"/>
  <c r="P292" i="5" s="1"/>
  <c r="P294" i="5"/>
  <c r="K249" i="2"/>
  <c r="K594" i="2"/>
  <c r="I594" i="1"/>
  <c r="K594" i="1" s="1"/>
  <c r="J635" i="1"/>
  <c r="K92" i="3"/>
  <c r="N96" i="3"/>
  <c r="N94" i="3" s="1"/>
  <c r="L144" i="3"/>
  <c r="O144" i="3" s="1"/>
  <c r="L23" i="3"/>
  <c r="O23" i="3" s="1"/>
  <c r="O349" i="3"/>
  <c r="K423" i="3"/>
  <c r="O582" i="3"/>
  <c r="K635" i="3"/>
  <c r="M312" i="4"/>
  <c r="M310" i="4" s="1"/>
  <c r="P310" i="4" s="1"/>
  <c r="P314" i="4"/>
  <c r="K430" i="4"/>
  <c r="K632" i="4"/>
  <c r="I138" i="1"/>
  <c r="M294" i="1"/>
  <c r="I597" i="1"/>
  <c r="L33" i="2"/>
  <c r="O33" i="2" s="1"/>
  <c r="O353" i="2"/>
  <c r="O582" i="2"/>
  <c r="L32" i="2"/>
  <c r="L30" i="2" s="1"/>
  <c r="M22" i="5"/>
  <c r="M12" i="5" s="1"/>
  <c r="I346" i="1"/>
  <c r="K346" i="1" s="1"/>
  <c r="O435" i="2"/>
  <c r="O439" i="2"/>
  <c r="L34" i="2"/>
  <c r="K328" i="3"/>
  <c r="M333" i="1"/>
  <c r="K416" i="3"/>
  <c r="O459" i="3"/>
  <c r="K465" i="3"/>
  <c r="K497" i="3"/>
  <c r="N571" i="1"/>
  <c r="K117" i="4"/>
  <c r="K416" i="4"/>
  <c r="K423" i="4"/>
  <c r="K481" i="4"/>
  <c r="K249" i="5"/>
  <c r="K615" i="4"/>
  <c r="K617" i="4"/>
  <c r="I611" i="1"/>
  <c r="K619" i="4"/>
  <c r="K611" i="4"/>
  <c r="I478" i="1"/>
  <c r="K478" i="1" s="1"/>
  <c r="I485" i="1"/>
  <c r="K485" i="1" s="1"/>
  <c r="K158" i="2"/>
  <c r="K324" i="2"/>
  <c r="K428" i="2"/>
  <c r="O74" i="3"/>
  <c r="M74" i="3"/>
  <c r="M74" i="1" s="1"/>
  <c r="M55" i="4"/>
  <c r="P57" i="4"/>
  <c r="K466" i="4"/>
  <c r="K497" i="4"/>
  <c r="L70" i="5"/>
  <c r="L68" i="5" s="1"/>
  <c r="L66" i="5" s="1"/>
  <c r="K186" i="5"/>
  <c r="K235" i="5"/>
  <c r="L23" i="2"/>
  <c r="O23" i="2" s="1"/>
  <c r="N26" i="2"/>
  <c r="N16" i="2" s="1"/>
  <c r="J339" i="1"/>
  <c r="K370" i="2"/>
  <c r="K464" i="2"/>
  <c r="K629" i="2"/>
  <c r="N26" i="3"/>
  <c r="N16" i="3" s="1"/>
  <c r="K219" i="3"/>
  <c r="K229" i="3"/>
  <c r="N389" i="1"/>
  <c r="K435" i="4"/>
  <c r="K450" i="4"/>
  <c r="K621" i="4"/>
  <c r="K629" i="4"/>
  <c r="O352" i="5"/>
  <c r="O435" i="5"/>
  <c r="N312" i="6"/>
  <c r="N310" i="6" s="1"/>
  <c r="P314" i="6"/>
  <c r="J83" i="1"/>
  <c r="K133" i="2"/>
  <c r="K149" i="2"/>
  <c r="J196" i="1"/>
  <c r="K340" i="2"/>
  <c r="O347" i="2"/>
  <c r="O385" i="2"/>
  <c r="O406" i="2"/>
  <c r="K419" i="2"/>
  <c r="K426" i="2"/>
  <c r="K573" i="2"/>
  <c r="K595" i="2"/>
  <c r="K343" i="3"/>
  <c r="K398" i="3"/>
  <c r="K402" i="3"/>
  <c r="K428" i="3"/>
  <c r="K613" i="3"/>
  <c r="L57" i="4"/>
  <c r="O57" i="4" s="1"/>
  <c r="L333" i="4"/>
  <c r="O333" i="4" s="1"/>
  <c r="K340" i="4"/>
  <c r="K398" i="4"/>
  <c r="K455" i="4"/>
  <c r="K473" i="4"/>
  <c r="K625" i="4"/>
  <c r="N273" i="5"/>
  <c r="N271" i="5" s="1"/>
  <c r="L26" i="7"/>
  <c r="L16" i="7" s="1"/>
  <c r="M68" i="2"/>
  <c r="P68" i="2" s="1"/>
  <c r="N74" i="1"/>
  <c r="J133" i="1"/>
  <c r="K616" i="2"/>
  <c r="K625" i="2"/>
  <c r="K618" i="3"/>
  <c r="K621" i="3"/>
  <c r="K629" i="3"/>
  <c r="J78" i="1"/>
  <c r="P98" i="4"/>
  <c r="K235" i="4"/>
  <c r="K270" i="4"/>
  <c r="L98" i="5"/>
  <c r="O98" i="5" s="1"/>
  <c r="K108" i="5"/>
  <c r="K164" i="5"/>
  <c r="K219" i="5"/>
  <c r="L294" i="5"/>
  <c r="O294" i="5" s="1"/>
  <c r="P57" i="2"/>
  <c r="N96" i="2"/>
  <c r="N94" i="2" s="1"/>
  <c r="K173" i="2"/>
  <c r="J182" i="1"/>
  <c r="K199" i="2"/>
  <c r="K219" i="2"/>
  <c r="L254" i="2"/>
  <c r="L252" i="2" s="1"/>
  <c r="K264" i="2"/>
  <c r="L333" i="2"/>
  <c r="O333" i="2" s="1"/>
  <c r="K341" i="2"/>
  <c r="K349" i="2"/>
  <c r="K375" i="2"/>
  <c r="K380" i="2"/>
  <c r="K401" i="2"/>
  <c r="O580" i="2"/>
  <c r="P57" i="3"/>
  <c r="P70" i="3"/>
  <c r="K108" i="3"/>
  <c r="K149" i="3"/>
  <c r="L224" i="3"/>
  <c r="O224" i="3" s="1"/>
  <c r="K425" i="3"/>
  <c r="O439" i="3"/>
  <c r="K625" i="3"/>
  <c r="N142" i="4"/>
  <c r="P142" i="4" s="1"/>
  <c r="K189" i="4"/>
  <c r="K219" i="4"/>
  <c r="K229" i="4"/>
  <c r="L277" i="1"/>
  <c r="K285" i="4"/>
  <c r="K432" i="4"/>
  <c r="O455" i="4"/>
  <c r="K499" i="4"/>
  <c r="N32" i="4"/>
  <c r="N30" i="4" s="1"/>
  <c r="L314" i="5"/>
  <c r="K376" i="5"/>
  <c r="L98" i="2"/>
  <c r="L96" i="2" s="1"/>
  <c r="L94" i="2" s="1"/>
  <c r="K117" i="2"/>
  <c r="N122" i="1"/>
  <c r="K309" i="2"/>
  <c r="N312" i="2"/>
  <c r="N310" i="2" s="1"/>
  <c r="N356" i="1"/>
  <c r="K372" i="2"/>
  <c r="O457" i="2"/>
  <c r="K620" i="2"/>
  <c r="K623" i="2"/>
  <c r="L26" i="3"/>
  <c r="L16" i="3" s="1"/>
  <c r="O102" i="3"/>
  <c r="N31" i="3"/>
  <c r="N29" i="3" s="1"/>
  <c r="K630" i="3"/>
  <c r="N22" i="4"/>
  <c r="N26" i="5"/>
  <c r="N16" i="5" s="1"/>
  <c r="N32" i="5"/>
  <c r="N30" i="5" s="1"/>
  <c r="O351" i="7"/>
  <c r="L31" i="7"/>
  <c r="L29" i="7" s="1"/>
  <c r="O29" i="7" s="1"/>
  <c r="L122" i="2"/>
  <c r="L120" i="2" s="1"/>
  <c r="L118" i="2" s="1"/>
  <c r="K164" i="2"/>
  <c r="K189" i="2"/>
  <c r="I265" i="1"/>
  <c r="L314" i="2"/>
  <c r="L312" i="2" s="1"/>
  <c r="O349" i="2"/>
  <c r="O380" i="2"/>
  <c r="K397" i="2"/>
  <c r="O401" i="2"/>
  <c r="K417" i="2"/>
  <c r="J430" i="1"/>
  <c r="J435" i="1"/>
  <c r="K450" i="2"/>
  <c r="O535" i="2"/>
  <c r="K563" i="2"/>
  <c r="O566" i="2"/>
  <c r="K617" i="2"/>
  <c r="K628" i="2"/>
  <c r="M102" i="3"/>
  <c r="P102" i="3" s="1"/>
  <c r="K270" i="3"/>
  <c r="N292" i="3"/>
  <c r="N290" i="3" s="1"/>
  <c r="K375" i="3"/>
  <c r="K401" i="3"/>
  <c r="K426" i="3"/>
  <c r="K432" i="3"/>
  <c r="K547" i="3"/>
  <c r="O597" i="3"/>
  <c r="P122" i="4"/>
  <c r="K149" i="4"/>
  <c r="N222" i="4"/>
  <c r="N220" i="4" s="1"/>
  <c r="M252" i="4"/>
  <c r="P252" i="4" s="1"/>
  <c r="K396" i="4"/>
  <c r="K401" i="4"/>
  <c r="O406" i="4"/>
  <c r="K422" i="4"/>
  <c r="O437" i="4"/>
  <c r="K449" i="4"/>
  <c r="K620" i="4"/>
  <c r="K92" i="5"/>
  <c r="K110" i="5"/>
  <c r="K149" i="5"/>
  <c r="L24" i="7"/>
  <c r="O24" i="7" s="1"/>
  <c r="O438" i="7"/>
  <c r="L33" i="7"/>
  <c r="O33" i="7" s="1"/>
  <c r="M22" i="6"/>
  <c r="M12" i="6" s="1"/>
  <c r="L24" i="6"/>
  <c r="O24" i="6" s="1"/>
  <c r="K113" i="6"/>
  <c r="K304" i="6"/>
  <c r="O354" i="6"/>
  <c r="K419" i="6"/>
  <c r="K426" i="6"/>
  <c r="K498" i="6"/>
  <c r="O582" i="6"/>
  <c r="K631" i="6"/>
  <c r="O383" i="7"/>
  <c r="O404" i="7"/>
  <c r="L45" i="10"/>
  <c r="O45" i="10" s="1"/>
  <c r="L24" i="10"/>
  <c r="O24" i="10" s="1"/>
  <c r="K341" i="5"/>
  <c r="O347" i="5"/>
  <c r="K368" i="5"/>
  <c r="K398" i="5"/>
  <c r="K435" i="5"/>
  <c r="O437" i="5"/>
  <c r="O459" i="5"/>
  <c r="K465" i="5"/>
  <c r="O566" i="5"/>
  <c r="K624" i="5"/>
  <c r="K173" i="6"/>
  <c r="K199" i="6"/>
  <c r="M292" i="6"/>
  <c r="M290" i="6" s="1"/>
  <c r="K324" i="6"/>
  <c r="N331" i="6"/>
  <c r="N329" i="6" s="1"/>
  <c r="K349" i="6"/>
  <c r="K372" i="6"/>
  <c r="K376" i="6"/>
  <c r="O437" i="6"/>
  <c r="K482" i="6"/>
  <c r="O564" i="6"/>
  <c r="K573" i="6"/>
  <c r="K591" i="6"/>
  <c r="O597" i="6"/>
  <c r="K612" i="6"/>
  <c r="K619" i="6"/>
  <c r="L34" i="7"/>
  <c r="L23" i="7"/>
  <c r="O23" i="7" s="1"/>
  <c r="K92" i="7"/>
  <c r="K111" i="7"/>
  <c r="K164" i="7"/>
  <c r="O337" i="7"/>
  <c r="K345" i="7"/>
  <c r="K349" i="7"/>
  <c r="K376" i="7"/>
  <c r="K397" i="7"/>
  <c r="K417" i="7"/>
  <c r="O455" i="7"/>
  <c r="K474" i="7"/>
  <c r="O537" i="7"/>
  <c r="L45" i="8"/>
  <c r="L43" i="8" s="1"/>
  <c r="L24" i="8"/>
  <c r="O24" i="8" s="1"/>
  <c r="L33" i="8"/>
  <c r="O33" i="8" s="1"/>
  <c r="O353" i="8"/>
  <c r="K623" i="9"/>
  <c r="O49" i="12"/>
  <c r="L26" i="12"/>
  <c r="N55" i="12"/>
  <c r="N53" i="12" s="1"/>
  <c r="N22" i="12"/>
  <c r="O597" i="5"/>
  <c r="O601" i="5"/>
  <c r="L23" i="6"/>
  <c r="O23" i="6" s="1"/>
  <c r="K189" i="6"/>
  <c r="O352" i="6"/>
  <c r="K397" i="6"/>
  <c r="K417" i="6"/>
  <c r="K450" i="6"/>
  <c r="K616" i="6"/>
  <c r="K328" i="7"/>
  <c r="M331" i="7"/>
  <c r="M329" i="7" s="1"/>
  <c r="K377" i="7"/>
  <c r="K381" i="7"/>
  <c r="K398" i="7"/>
  <c r="K402" i="7"/>
  <c r="K418" i="7"/>
  <c r="K432" i="7"/>
  <c r="O383" i="8"/>
  <c r="N32" i="8"/>
  <c r="N30" i="8" s="1"/>
  <c r="L32" i="9"/>
  <c r="L30" i="9" s="1"/>
  <c r="M273" i="9"/>
  <c r="M271" i="9" s="1"/>
  <c r="P275" i="9"/>
  <c r="L32" i="10"/>
  <c r="L30" i="10" s="1"/>
  <c r="O404" i="10"/>
  <c r="M120" i="12"/>
  <c r="P120" i="12" s="1"/>
  <c r="P122" i="12"/>
  <c r="K345" i="5"/>
  <c r="K421" i="5"/>
  <c r="K455" i="5"/>
  <c r="O457" i="5"/>
  <c r="K499" i="5"/>
  <c r="O349" i="6"/>
  <c r="K424" i="6"/>
  <c r="K551" i="6"/>
  <c r="O580" i="6"/>
  <c r="K589" i="6"/>
  <c r="K629" i="6"/>
  <c r="K93" i="7"/>
  <c r="K112" i="7"/>
  <c r="L122" i="7"/>
  <c r="O122" i="7" s="1"/>
  <c r="K465" i="7"/>
  <c r="K481" i="7"/>
  <c r="K497" i="7"/>
  <c r="K149" i="8"/>
  <c r="O380" i="8"/>
  <c r="K108" i="9"/>
  <c r="O554" i="10"/>
  <c r="L33" i="10"/>
  <c r="O33" i="10" s="1"/>
  <c r="M252" i="8"/>
  <c r="M250" i="8" s="1"/>
  <c r="P254" i="8"/>
  <c r="M292" i="8"/>
  <c r="P292" i="8" s="1"/>
  <c r="P294" i="8"/>
  <c r="L31" i="8"/>
  <c r="O31" i="8" s="1"/>
  <c r="O552" i="8"/>
  <c r="L31" i="11"/>
  <c r="L11" i="11" s="1"/>
  <c r="O552" i="11"/>
  <c r="K200" i="5"/>
  <c r="L254" i="5"/>
  <c r="O254" i="5" s="1"/>
  <c r="K264" i="5"/>
  <c r="O380" i="5"/>
  <c r="O383" i="5"/>
  <c r="K422" i="5"/>
  <c r="K428" i="5"/>
  <c r="K473" i="5"/>
  <c r="O564" i="5"/>
  <c r="O102" i="6"/>
  <c r="K235" i="6"/>
  <c r="K270" i="6"/>
  <c r="P333" i="6"/>
  <c r="K343" i="6"/>
  <c r="N33" i="6"/>
  <c r="N13" i="6" s="1"/>
  <c r="K381" i="6"/>
  <c r="K398" i="6"/>
  <c r="K402" i="6"/>
  <c r="K425" i="6"/>
  <c r="K432" i="6"/>
  <c r="O535" i="6"/>
  <c r="K593" i="6"/>
  <c r="K614" i="6"/>
  <c r="K630" i="6"/>
  <c r="O49" i="7"/>
  <c r="P57" i="7"/>
  <c r="K109" i="7"/>
  <c r="K186" i="7"/>
  <c r="K350" i="7"/>
  <c r="O354" i="7"/>
  <c r="I367" i="7"/>
  <c r="K367" i="7" s="1"/>
  <c r="O437" i="7"/>
  <c r="K449" i="7"/>
  <c r="K466" i="7"/>
  <c r="K482" i="7"/>
  <c r="K498" i="7"/>
  <c r="M142" i="8"/>
  <c r="M140" i="8" s="1"/>
  <c r="P144" i="8"/>
  <c r="O582" i="8"/>
  <c r="L32" i="8"/>
  <c r="M102" i="9"/>
  <c r="M26" i="9" s="1"/>
  <c r="M16" i="9" s="1"/>
  <c r="O102" i="9"/>
  <c r="P254" i="9"/>
  <c r="M252" i="9"/>
  <c r="P252" i="9" s="1"/>
  <c r="O405" i="9"/>
  <c r="L33" i="9"/>
  <c r="O33" i="9" s="1"/>
  <c r="K86" i="10"/>
  <c r="L98" i="12"/>
  <c r="L96" i="12" s="1"/>
  <c r="L23" i="12"/>
  <c r="O23" i="12" s="1"/>
  <c r="K350" i="5"/>
  <c r="K377" i="5"/>
  <c r="K429" i="5"/>
  <c r="K497" i="5"/>
  <c r="K562" i="5"/>
  <c r="K622" i="5"/>
  <c r="K631" i="5"/>
  <c r="K635" i="5"/>
  <c r="K92" i="6"/>
  <c r="K266" i="6"/>
  <c r="N273" i="6"/>
  <c r="N271" i="6" s="1"/>
  <c r="L333" i="6"/>
  <c r="L331" i="6" s="1"/>
  <c r="K340" i="6"/>
  <c r="K422" i="6"/>
  <c r="O455" i="6"/>
  <c r="K597" i="6"/>
  <c r="K611" i="6"/>
  <c r="K634" i="6"/>
  <c r="K229" i="7"/>
  <c r="N252" i="7"/>
  <c r="N250" i="7" s="1"/>
  <c r="N273" i="7"/>
  <c r="N271" i="7" s="1"/>
  <c r="K375" i="7"/>
  <c r="K396" i="7"/>
  <c r="K416" i="7"/>
  <c r="K423" i="7"/>
  <c r="K427" i="7"/>
  <c r="K435" i="7"/>
  <c r="O457" i="7"/>
  <c r="K633" i="7"/>
  <c r="P74" i="9"/>
  <c r="K398" i="9"/>
  <c r="K149" i="10"/>
  <c r="O337" i="10"/>
  <c r="M337" i="10"/>
  <c r="P337" i="10" s="1"/>
  <c r="K551" i="7"/>
  <c r="K562" i="7"/>
  <c r="K589" i="7"/>
  <c r="K614" i="7"/>
  <c r="M26" i="8"/>
  <c r="M16" i="8" s="1"/>
  <c r="N55" i="8"/>
  <c r="N53" i="8" s="1"/>
  <c r="K80" i="8"/>
  <c r="K267" i="8"/>
  <c r="N292" i="8"/>
  <c r="N290" i="8" s="1"/>
  <c r="N331" i="8"/>
  <c r="N329" i="8" s="1"/>
  <c r="O349" i="8"/>
  <c r="K430" i="8"/>
  <c r="K450" i="8"/>
  <c r="O533" i="8"/>
  <c r="N34" i="8"/>
  <c r="N14" i="8" s="1"/>
  <c r="K615" i="8"/>
  <c r="K635" i="8"/>
  <c r="L45" i="9"/>
  <c r="O45" i="9" s="1"/>
  <c r="K84" i="9"/>
  <c r="K235" i="9"/>
  <c r="N252" i="9"/>
  <c r="N250" i="9" s="1"/>
  <c r="N331" i="9"/>
  <c r="N329" i="9" s="1"/>
  <c r="O535" i="10"/>
  <c r="O601" i="10"/>
  <c r="K621" i="10"/>
  <c r="O349" i="11"/>
  <c r="P43" i="12"/>
  <c r="N26" i="12"/>
  <c r="N16" i="12" s="1"/>
  <c r="M222" i="13"/>
  <c r="M220" i="13" s="1"/>
  <c r="P224" i="13"/>
  <c r="K618" i="13"/>
  <c r="K619" i="13"/>
  <c r="K611" i="13"/>
  <c r="O582" i="18"/>
  <c r="N32" i="18"/>
  <c r="N30" i="18" s="1"/>
  <c r="N96" i="8"/>
  <c r="N94" i="8" s="1"/>
  <c r="L26" i="9"/>
  <c r="L16" i="9" s="1"/>
  <c r="K340" i="9"/>
  <c r="K368" i="9"/>
  <c r="K380" i="9"/>
  <c r="K421" i="9"/>
  <c r="K562" i="9"/>
  <c r="N26" i="10"/>
  <c r="N16" i="10" s="1"/>
  <c r="P57" i="10"/>
  <c r="K80" i="10"/>
  <c r="K110" i="10"/>
  <c r="L144" i="10"/>
  <c r="O144" i="10" s="1"/>
  <c r="K229" i="10"/>
  <c r="O385" i="10"/>
  <c r="K435" i="10"/>
  <c r="K563" i="10"/>
  <c r="K617" i="10"/>
  <c r="K625" i="10"/>
  <c r="P45" i="11"/>
  <c r="K80" i="11"/>
  <c r="K83" i="11"/>
  <c r="K158" i="11"/>
  <c r="K200" i="11"/>
  <c r="L224" i="11"/>
  <c r="K285" i="11"/>
  <c r="M312" i="11"/>
  <c r="P312" i="11" s="1"/>
  <c r="K328" i="11"/>
  <c r="K350" i="11"/>
  <c r="K370" i="11"/>
  <c r="K432" i="11"/>
  <c r="O439" i="11"/>
  <c r="K580" i="11"/>
  <c r="O599" i="11"/>
  <c r="K65" i="12"/>
  <c r="K81" i="12"/>
  <c r="K85" i="12"/>
  <c r="K417" i="12"/>
  <c r="M22" i="13"/>
  <c r="M12" i="13" s="1"/>
  <c r="O406" i="13"/>
  <c r="L34" i="14"/>
  <c r="N34" i="14"/>
  <c r="N14" i="14" s="1"/>
  <c r="K560" i="7"/>
  <c r="K597" i="7"/>
  <c r="K618" i="7"/>
  <c r="K631" i="7"/>
  <c r="K634" i="7"/>
  <c r="K64" i="8"/>
  <c r="N68" i="8"/>
  <c r="N66" i="8" s="1"/>
  <c r="K88" i="8"/>
  <c r="K173" i="8"/>
  <c r="L254" i="8"/>
  <c r="O254" i="8" s="1"/>
  <c r="P333" i="8"/>
  <c r="K370" i="8"/>
  <c r="K595" i="8"/>
  <c r="P57" i="9"/>
  <c r="P70" i="9"/>
  <c r="K85" i="9"/>
  <c r="K113" i="9"/>
  <c r="M142" i="9"/>
  <c r="M140" i="9" s="1"/>
  <c r="K158" i="9"/>
  <c r="K617" i="9"/>
  <c r="K630" i="9"/>
  <c r="K84" i="10"/>
  <c r="K424" i="10"/>
  <c r="K427" i="10"/>
  <c r="M142" i="12"/>
  <c r="P144" i="12"/>
  <c r="N34" i="13"/>
  <c r="N14" i="13" s="1"/>
  <c r="O567" i="14"/>
  <c r="L33" i="14"/>
  <c r="O33" i="14" s="1"/>
  <c r="O567" i="15"/>
  <c r="L33" i="15"/>
  <c r="O33" i="15" s="1"/>
  <c r="N312" i="8"/>
  <c r="N310" i="8" s="1"/>
  <c r="O49" i="9"/>
  <c r="K65" i="9"/>
  <c r="K92" i="9"/>
  <c r="K149" i="9"/>
  <c r="K285" i="9"/>
  <c r="P314" i="9"/>
  <c r="K341" i="9"/>
  <c r="K349" i="9"/>
  <c r="K401" i="9"/>
  <c r="K422" i="9"/>
  <c r="K429" i="9"/>
  <c r="K449" i="9"/>
  <c r="O535" i="9"/>
  <c r="K563" i="9"/>
  <c r="K614" i="9"/>
  <c r="K93" i="10"/>
  <c r="K111" i="10"/>
  <c r="K189" i="10"/>
  <c r="N222" i="10"/>
  <c r="N220" i="10" s="1"/>
  <c r="O349" i="10"/>
  <c r="K396" i="10"/>
  <c r="K402" i="10"/>
  <c r="K431" i="10"/>
  <c r="O435" i="10"/>
  <c r="K450" i="10"/>
  <c r="O537" i="10"/>
  <c r="K81" i="11"/>
  <c r="K93" i="11"/>
  <c r="K111" i="11"/>
  <c r="K235" i="11"/>
  <c r="L254" i="11"/>
  <c r="L252" i="11" s="1"/>
  <c r="O252" i="11" s="1"/>
  <c r="O354" i="11"/>
  <c r="K368" i="11"/>
  <c r="K375" i="11"/>
  <c r="K381" i="11"/>
  <c r="K416" i="11"/>
  <c r="K419" i="11"/>
  <c r="K422" i="11"/>
  <c r="O568" i="11"/>
  <c r="O580" i="11"/>
  <c r="L34" i="12"/>
  <c r="M96" i="12"/>
  <c r="P96" i="12" s="1"/>
  <c r="L24" i="12"/>
  <c r="K450" i="12"/>
  <c r="K396" i="13"/>
  <c r="M312" i="14"/>
  <c r="P312" i="14" s="1"/>
  <c r="P314" i="14"/>
  <c r="K564" i="7"/>
  <c r="K65" i="8"/>
  <c r="K340" i="8"/>
  <c r="K368" i="8"/>
  <c r="K380" i="8"/>
  <c r="K421" i="8"/>
  <c r="K562" i="8"/>
  <c r="K617" i="8"/>
  <c r="L70" i="9"/>
  <c r="O70" i="9" s="1"/>
  <c r="K110" i="9"/>
  <c r="L314" i="9"/>
  <c r="O314" i="9" s="1"/>
  <c r="K397" i="9"/>
  <c r="K416" i="9"/>
  <c r="K423" i="9"/>
  <c r="K435" i="9"/>
  <c r="L98" i="10"/>
  <c r="L96" i="10" s="1"/>
  <c r="K628" i="10"/>
  <c r="L45" i="11"/>
  <c r="K88" i="11"/>
  <c r="L98" i="11"/>
  <c r="O98" i="11" s="1"/>
  <c r="K108" i="11"/>
  <c r="K117" i="11"/>
  <c r="K423" i="11"/>
  <c r="K595" i="11"/>
  <c r="K435" i="12"/>
  <c r="K617" i="14"/>
  <c r="K612" i="14"/>
  <c r="K611" i="14"/>
  <c r="K117" i="8"/>
  <c r="K158" i="8"/>
  <c r="O352" i="8"/>
  <c r="K372" i="8"/>
  <c r="K376" i="8"/>
  <c r="K396" i="8"/>
  <c r="O406" i="8"/>
  <c r="O584" i="8"/>
  <c r="K614" i="8"/>
  <c r="K450" i="9"/>
  <c r="L224" i="10"/>
  <c r="L222" i="10" s="1"/>
  <c r="N32" i="14"/>
  <c r="N30" i="14" s="1"/>
  <c r="O352" i="14"/>
  <c r="O564" i="7"/>
  <c r="K629" i="7"/>
  <c r="K83" i="8"/>
  <c r="K176" i="8"/>
  <c r="L224" i="8"/>
  <c r="O224" i="8" s="1"/>
  <c r="K266" i="8"/>
  <c r="K401" i="8"/>
  <c r="K597" i="8"/>
  <c r="O599" i="8"/>
  <c r="K618" i="8"/>
  <c r="K634" i="8"/>
  <c r="K270" i="9"/>
  <c r="K343" i="9"/>
  <c r="K350" i="9"/>
  <c r="O404" i="9"/>
  <c r="K417" i="9"/>
  <c r="K420" i="9"/>
  <c r="K424" i="9"/>
  <c r="K431" i="9"/>
  <c r="O435" i="9"/>
  <c r="O455" i="9"/>
  <c r="K464" i="9"/>
  <c r="K499" i="9"/>
  <c r="L34" i="9"/>
  <c r="O564" i="9"/>
  <c r="K573" i="9"/>
  <c r="K615" i="9"/>
  <c r="K628" i="9"/>
  <c r="K634" i="9"/>
  <c r="K64" i="10"/>
  <c r="N120" i="10"/>
  <c r="N118" i="10" s="1"/>
  <c r="K176" i="10"/>
  <c r="K201" i="10"/>
  <c r="K381" i="10"/>
  <c r="K474" i="10"/>
  <c r="K595" i="10"/>
  <c r="K629" i="10"/>
  <c r="K635" i="10"/>
  <c r="N292" i="11"/>
  <c r="N290" i="11" s="1"/>
  <c r="K424" i="11"/>
  <c r="K427" i="11"/>
  <c r="K430" i="11"/>
  <c r="K455" i="11"/>
  <c r="K466" i="11"/>
  <c r="K564" i="11"/>
  <c r="O584" i="11"/>
  <c r="O601" i="11"/>
  <c r="K80" i="12"/>
  <c r="K84" i="12"/>
  <c r="N96" i="12"/>
  <c r="N94" i="12" s="1"/>
  <c r="K219" i="12"/>
  <c r="L314" i="12"/>
  <c r="L312" i="12" s="1"/>
  <c r="O312" i="12" s="1"/>
  <c r="K341" i="12"/>
  <c r="O352" i="12"/>
  <c r="K428" i="12"/>
  <c r="O566" i="12"/>
  <c r="K625" i="12"/>
  <c r="L333" i="13"/>
  <c r="O333" i="13" s="1"/>
  <c r="N33" i="13"/>
  <c r="N13" i="13" s="1"/>
  <c r="O599" i="13"/>
  <c r="K621" i="13"/>
  <c r="K632" i="13"/>
  <c r="L70" i="14"/>
  <c r="O70" i="14" s="1"/>
  <c r="K465" i="14"/>
  <c r="K593" i="14"/>
  <c r="K621" i="14"/>
  <c r="K631" i="14"/>
  <c r="L26" i="15"/>
  <c r="L16" i="15" s="1"/>
  <c r="N32" i="15"/>
  <c r="N30" i="15" s="1"/>
  <c r="L144" i="12"/>
  <c r="K229" i="12"/>
  <c r="N292" i="12"/>
  <c r="N290" i="12" s="1"/>
  <c r="K619" i="12"/>
  <c r="L98" i="13"/>
  <c r="O98" i="13" s="1"/>
  <c r="L254" i="13"/>
  <c r="O254" i="13" s="1"/>
  <c r="K349" i="13"/>
  <c r="O354" i="13"/>
  <c r="K368" i="13"/>
  <c r="K377" i="13"/>
  <c r="O404" i="13"/>
  <c r="K419" i="13"/>
  <c r="K429" i="13"/>
  <c r="O551" i="13"/>
  <c r="N26" i="14"/>
  <c r="O49" i="14"/>
  <c r="L98" i="14"/>
  <c r="O98" i="14" s="1"/>
  <c r="N331" i="14"/>
  <c r="N329" i="14" s="1"/>
  <c r="K350" i="14"/>
  <c r="K370" i="14"/>
  <c r="K426" i="14"/>
  <c r="K435" i="14"/>
  <c r="K450" i="14"/>
  <c r="O568" i="14"/>
  <c r="O584" i="14"/>
  <c r="O599" i="14"/>
  <c r="O351" i="16"/>
  <c r="L31" i="16"/>
  <c r="L29" i="16" s="1"/>
  <c r="O601" i="16"/>
  <c r="P337" i="18"/>
  <c r="M331" i="18"/>
  <c r="M329" i="18" s="1"/>
  <c r="N331" i="12"/>
  <c r="N329" i="12" s="1"/>
  <c r="K429" i="12"/>
  <c r="O439" i="12"/>
  <c r="K474" i="12"/>
  <c r="K562" i="12"/>
  <c r="O564" i="12"/>
  <c r="K634" i="12"/>
  <c r="K201" i="13"/>
  <c r="M222" i="14"/>
  <c r="M220" i="14" s="1"/>
  <c r="O405" i="18"/>
  <c r="L33" i="18"/>
  <c r="O33" i="18" s="1"/>
  <c r="K617" i="19"/>
  <c r="K619" i="19"/>
  <c r="K616" i="19"/>
  <c r="K612" i="19"/>
  <c r="K618" i="19"/>
  <c r="K200" i="12"/>
  <c r="N222" i="12"/>
  <c r="N220" i="12" s="1"/>
  <c r="N33" i="12"/>
  <c r="N13" i="12" s="1"/>
  <c r="K419" i="12"/>
  <c r="O455" i="12"/>
  <c r="O568" i="12"/>
  <c r="O102" i="13"/>
  <c r="L144" i="13"/>
  <c r="O144" i="13" s="1"/>
  <c r="K420" i="13"/>
  <c r="O439" i="13"/>
  <c r="L122" i="14"/>
  <c r="O122" i="14" s="1"/>
  <c r="L24" i="14"/>
  <c r="O24" i="14" s="1"/>
  <c r="K173" i="14"/>
  <c r="O380" i="14"/>
  <c r="O457" i="14"/>
  <c r="K473" i="14"/>
  <c r="M53" i="15"/>
  <c r="N43" i="16"/>
  <c r="N41" i="16" s="1"/>
  <c r="O552" i="17"/>
  <c r="L31" i="17"/>
  <c r="M312" i="19"/>
  <c r="P312" i="19" s="1"/>
  <c r="P314" i="19"/>
  <c r="N312" i="13"/>
  <c r="N310" i="13" s="1"/>
  <c r="O597" i="13"/>
  <c r="K634" i="13"/>
  <c r="K65" i="14"/>
  <c r="O354" i="14"/>
  <c r="K368" i="14"/>
  <c r="K421" i="14"/>
  <c r="K428" i="14"/>
  <c r="K533" i="14"/>
  <c r="K591" i="14"/>
  <c r="M273" i="16"/>
  <c r="P275" i="16"/>
  <c r="K426" i="12"/>
  <c r="K631" i="12"/>
  <c r="K173" i="13"/>
  <c r="L23" i="14"/>
  <c r="O23" i="14" s="1"/>
  <c r="K219" i="14"/>
  <c r="L24" i="17"/>
  <c r="O351" i="18"/>
  <c r="L31" i="18"/>
  <c r="L34" i="18"/>
  <c r="O354" i="18"/>
  <c r="K368" i="12"/>
  <c r="K375" i="12"/>
  <c r="O401" i="12"/>
  <c r="K427" i="12"/>
  <c r="K465" i="12"/>
  <c r="K499" i="12"/>
  <c r="O533" i="12"/>
  <c r="O599" i="12"/>
  <c r="K110" i="13"/>
  <c r="K164" i="13"/>
  <c r="K199" i="13"/>
  <c r="P333" i="13"/>
  <c r="K340" i="13"/>
  <c r="K474" i="13"/>
  <c r="O568" i="13"/>
  <c r="K593" i="13"/>
  <c r="K158" i="14"/>
  <c r="K265" i="14"/>
  <c r="O337" i="14"/>
  <c r="K398" i="14"/>
  <c r="O406" i="14"/>
  <c r="K422" i="14"/>
  <c r="K429" i="14"/>
  <c r="O459" i="14"/>
  <c r="K481" i="14"/>
  <c r="O533" i="14"/>
  <c r="M22" i="15"/>
  <c r="M12" i="15" s="1"/>
  <c r="N31" i="16"/>
  <c r="O533" i="16"/>
  <c r="M22" i="17"/>
  <c r="M12" i="17" s="1"/>
  <c r="M273" i="17"/>
  <c r="P273" i="17" s="1"/>
  <c r="P275" i="17"/>
  <c r="P57" i="15"/>
  <c r="L70" i="15"/>
  <c r="O70" i="15" s="1"/>
  <c r="O102" i="15"/>
  <c r="L144" i="15"/>
  <c r="O144" i="15" s="1"/>
  <c r="N252" i="15"/>
  <c r="N250" i="15" s="1"/>
  <c r="M312" i="15"/>
  <c r="P312" i="15" s="1"/>
  <c r="K343" i="15"/>
  <c r="K474" i="15"/>
  <c r="K564" i="15"/>
  <c r="K619" i="15"/>
  <c r="O49" i="16"/>
  <c r="N331" i="16"/>
  <c r="N329" i="16" s="1"/>
  <c r="K345" i="16"/>
  <c r="K349" i="16"/>
  <c r="K401" i="16"/>
  <c r="O406" i="16"/>
  <c r="K426" i="16"/>
  <c r="K429" i="16"/>
  <c r="K455" i="16"/>
  <c r="K589" i="16"/>
  <c r="K624" i="16"/>
  <c r="K189" i="17"/>
  <c r="I367" i="17"/>
  <c r="K367" i="17" s="1"/>
  <c r="K425" i="17"/>
  <c r="N33" i="17"/>
  <c r="N13" i="17" s="1"/>
  <c r="K621" i="17"/>
  <c r="K632" i="17"/>
  <c r="L57" i="18"/>
  <c r="L55" i="18" s="1"/>
  <c r="L53" i="18" s="1"/>
  <c r="K200" i="18"/>
  <c r="N331" i="18"/>
  <c r="N329" i="18" s="1"/>
  <c r="K341" i="18"/>
  <c r="K430" i="18"/>
  <c r="M292" i="19"/>
  <c r="P292" i="19" s="1"/>
  <c r="P294" i="19"/>
  <c r="P275" i="20"/>
  <c r="M273" i="20"/>
  <c r="M271" i="20" s="1"/>
  <c r="P45" i="15"/>
  <c r="K84" i="15"/>
  <c r="K113" i="15"/>
  <c r="K199" i="15"/>
  <c r="K204" i="15"/>
  <c r="K265" i="15"/>
  <c r="K623" i="15"/>
  <c r="K626" i="15"/>
  <c r="N68" i="16"/>
  <c r="N66" i="16" s="1"/>
  <c r="L24" i="16"/>
  <c r="O24" i="16" s="1"/>
  <c r="K189" i="16"/>
  <c r="N222" i="16"/>
  <c r="P222" i="16" s="1"/>
  <c r="K235" i="16"/>
  <c r="O383" i="16"/>
  <c r="K564" i="16"/>
  <c r="K621" i="16"/>
  <c r="M68" i="17"/>
  <c r="K185" i="17"/>
  <c r="L224" i="17"/>
  <c r="O224" i="17" s="1"/>
  <c r="K249" i="17"/>
  <c r="P254" i="17"/>
  <c r="K266" i="17"/>
  <c r="L314" i="17"/>
  <c r="L312" i="17" s="1"/>
  <c r="O312" i="17" s="1"/>
  <c r="O337" i="17"/>
  <c r="O354" i="17"/>
  <c r="K381" i="17"/>
  <c r="O404" i="17"/>
  <c r="K426" i="17"/>
  <c r="K201" i="18"/>
  <c r="L70" i="19"/>
  <c r="L23" i="19"/>
  <c r="O23" i="19" s="1"/>
  <c r="O455" i="19"/>
  <c r="N22" i="15"/>
  <c r="L24" i="15"/>
  <c r="K417" i="15"/>
  <c r="K562" i="15"/>
  <c r="O580" i="15"/>
  <c r="K589" i="15"/>
  <c r="K595" i="15"/>
  <c r="N292" i="16"/>
  <c r="N290" i="16" s="1"/>
  <c r="K397" i="16"/>
  <c r="O401" i="16"/>
  <c r="O404" i="16"/>
  <c r="K464" i="16"/>
  <c r="K618" i="16"/>
  <c r="L45" i="17"/>
  <c r="O45" i="17" s="1"/>
  <c r="K64" i="17"/>
  <c r="P122" i="17"/>
  <c r="K149" i="17"/>
  <c r="K176" i="17"/>
  <c r="L275" i="17"/>
  <c r="L273" i="17" s="1"/>
  <c r="O273" i="17" s="1"/>
  <c r="K349" i="17"/>
  <c r="O401" i="17"/>
  <c r="K423" i="17"/>
  <c r="K625" i="17"/>
  <c r="L23" i="18"/>
  <c r="K328" i="18"/>
  <c r="P333" i="18"/>
  <c r="O354" i="19"/>
  <c r="L34" i="19"/>
  <c r="O537" i="19"/>
  <c r="P122" i="20"/>
  <c r="M120" i="20"/>
  <c r="M118" i="20" s="1"/>
  <c r="O337" i="20"/>
  <c r="M337" i="20"/>
  <c r="M331" i="20" s="1"/>
  <c r="N33" i="20"/>
  <c r="N13" i="20" s="1"/>
  <c r="O566" i="21"/>
  <c r="L32" i="21"/>
  <c r="L30" i="21" s="1"/>
  <c r="N68" i="15"/>
  <c r="N66" i="15" s="1"/>
  <c r="K85" i="15"/>
  <c r="K547" i="15"/>
  <c r="O582" i="16"/>
  <c r="N120" i="17"/>
  <c r="N118" i="17" s="1"/>
  <c r="K464" i="17"/>
  <c r="M96" i="18"/>
  <c r="P96" i="18" s="1"/>
  <c r="O351" i="19"/>
  <c r="L31" i="19"/>
  <c r="I367" i="20"/>
  <c r="K367" i="20" s="1"/>
  <c r="K369" i="20"/>
  <c r="O456" i="20"/>
  <c r="L31" i="20"/>
  <c r="O31" i="20" s="1"/>
  <c r="O385" i="15"/>
  <c r="K466" i="15"/>
  <c r="K612" i="15"/>
  <c r="K624" i="15"/>
  <c r="K328" i="16"/>
  <c r="K630" i="16"/>
  <c r="K117" i="17"/>
  <c r="N142" i="17"/>
  <c r="N140" i="17" s="1"/>
  <c r="K595" i="17"/>
  <c r="O597" i="17"/>
  <c r="K616" i="17"/>
  <c r="L144" i="18"/>
  <c r="O144" i="18" s="1"/>
  <c r="K173" i="18"/>
  <c r="K235" i="18"/>
  <c r="L254" i="18"/>
  <c r="O254" i="18" s="1"/>
  <c r="L333" i="18"/>
  <c r="O333" i="18" s="1"/>
  <c r="O349" i="18"/>
  <c r="N26" i="19"/>
  <c r="N16" i="19" s="1"/>
  <c r="K340" i="19"/>
  <c r="K613" i="20"/>
  <c r="K619" i="20"/>
  <c r="O49" i="15"/>
  <c r="K229" i="15"/>
  <c r="N273" i="15"/>
  <c r="N271" i="15" s="1"/>
  <c r="K375" i="15"/>
  <c r="O566" i="15"/>
  <c r="K597" i="15"/>
  <c r="K611" i="15"/>
  <c r="K186" i="16"/>
  <c r="P224" i="16"/>
  <c r="P314" i="16"/>
  <c r="K418" i="16"/>
  <c r="K421" i="16"/>
  <c r="K435" i="16"/>
  <c r="K533" i="16"/>
  <c r="K573" i="16"/>
  <c r="K626" i="16"/>
  <c r="K631" i="16"/>
  <c r="K634" i="16"/>
  <c r="K65" i="17"/>
  <c r="K92" i="17"/>
  <c r="K112" i="17"/>
  <c r="L122" i="17"/>
  <c r="L120" i="17" s="1"/>
  <c r="L144" i="17"/>
  <c r="O144" i="17" s="1"/>
  <c r="K421" i="17"/>
  <c r="K626" i="17"/>
  <c r="N32" i="21"/>
  <c r="N30" i="21" s="1"/>
  <c r="M49" i="15"/>
  <c r="P49" i="15" s="1"/>
  <c r="N55" i="15"/>
  <c r="P55" i="15" s="1"/>
  <c r="L98" i="15"/>
  <c r="O98" i="15" s="1"/>
  <c r="N142" i="15"/>
  <c r="N140" i="15" s="1"/>
  <c r="P224" i="15"/>
  <c r="L275" i="15"/>
  <c r="P333" i="15"/>
  <c r="O352" i="15"/>
  <c r="K376" i="15"/>
  <c r="O383" i="15"/>
  <c r="K396" i="15"/>
  <c r="K449" i="15"/>
  <c r="O582" i="15"/>
  <c r="K615" i="15"/>
  <c r="K618" i="15"/>
  <c r="K630" i="15"/>
  <c r="N252" i="16"/>
  <c r="N250" i="16" s="1"/>
  <c r="L314" i="16"/>
  <c r="O314" i="16" s="1"/>
  <c r="K425" i="16"/>
  <c r="O457" i="16"/>
  <c r="K481" i="16"/>
  <c r="O49" i="17"/>
  <c r="L57" i="17"/>
  <c r="L70" i="17"/>
  <c r="K80" i="17"/>
  <c r="P224" i="17"/>
  <c r="K265" i="17"/>
  <c r="O383" i="17"/>
  <c r="O406" i="17"/>
  <c r="K418" i="17"/>
  <c r="K466" i="17"/>
  <c r="K482" i="17"/>
  <c r="K498" i="17"/>
  <c r="K628" i="17"/>
  <c r="K631" i="17"/>
  <c r="K164" i="18"/>
  <c r="K189" i="18"/>
  <c r="K219" i="18"/>
  <c r="N26" i="18"/>
  <c r="N16" i="18" s="1"/>
  <c r="O337" i="18"/>
  <c r="K381" i="19"/>
  <c r="K614" i="19"/>
  <c r="M68" i="21"/>
  <c r="P68" i="21" s="1"/>
  <c r="P70" i="21"/>
  <c r="K611" i="19"/>
  <c r="K349" i="20"/>
  <c r="K429" i="20"/>
  <c r="K482" i="20"/>
  <c r="N31" i="21"/>
  <c r="N29" i="21" s="1"/>
  <c r="K420" i="21"/>
  <c r="N31" i="18"/>
  <c r="N29" i="18" s="1"/>
  <c r="K450" i="18"/>
  <c r="O553" i="18"/>
  <c r="O564" i="18"/>
  <c r="O580" i="18"/>
  <c r="K621" i="18"/>
  <c r="N142" i="19"/>
  <c r="N140" i="19" s="1"/>
  <c r="M252" i="19"/>
  <c r="M250" i="19" s="1"/>
  <c r="P250" i="19" s="1"/>
  <c r="K328" i="19"/>
  <c r="L24" i="19"/>
  <c r="K341" i="19"/>
  <c r="K422" i="19"/>
  <c r="K429" i="19"/>
  <c r="K449" i="19"/>
  <c r="K563" i="19"/>
  <c r="O599" i="19"/>
  <c r="L24" i="20"/>
  <c r="O24" i="20" s="1"/>
  <c r="K81" i="20"/>
  <c r="K158" i="20"/>
  <c r="K176" i="20"/>
  <c r="K266" i="20"/>
  <c r="L275" i="20"/>
  <c r="L273" i="20" s="1"/>
  <c r="L271" i="20" s="1"/>
  <c r="L294" i="20"/>
  <c r="N32" i="20"/>
  <c r="N30" i="20" s="1"/>
  <c r="K377" i="20"/>
  <c r="K402" i="20"/>
  <c r="O406" i="20"/>
  <c r="K449" i="20"/>
  <c r="O457" i="20"/>
  <c r="K562" i="20"/>
  <c r="N222" i="21"/>
  <c r="P222" i="21" s="1"/>
  <c r="K560" i="21"/>
  <c r="K621" i="21"/>
  <c r="K631" i="20"/>
  <c r="K92" i="21"/>
  <c r="K625" i="21"/>
  <c r="O406" i="18"/>
  <c r="K432" i="18"/>
  <c r="O439" i="18"/>
  <c r="O459" i="18"/>
  <c r="K617" i="18"/>
  <c r="K345" i="19"/>
  <c r="K372" i="19"/>
  <c r="K396" i="19"/>
  <c r="K430" i="19"/>
  <c r="K450" i="19"/>
  <c r="K533" i="19"/>
  <c r="N26" i="20"/>
  <c r="N16" i="20" s="1"/>
  <c r="P98" i="20"/>
  <c r="K416" i="20"/>
  <c r="K420" i="20"/>
  <c r="K427" i="20"/>
  <c r="K563" i="20"/>
  <c r="K632" i="20"/>
  <c r="N142" i="21"/>
  <c r="N140" i="21" s="1"/>
  <c r="K199" i="21"/>
  <c r="K264" i="21"/>
  <c r="M312" i="21"/>
  <c r="N331" i="21"/>
  <c r="K345" i="21"/>
  <c r="K422" i="21"/>
  <c r="K428" i="21"/>
  <c r="K613" i="21"/>
  <c r="K533" i="18"/>
  <c r="K575" i="18"/>
  <c r="P45" i="19"/>
  <c r="K229" i="19"/>
  <c r="N252" i="19"/>
  <c r="N250" i="19" s="1"/>
  <c r="O349" i="19"/>
  <c r="O383" i="19"/>
  <c r="K427" i="19"/>
  <c r="O457" i="19"/>
  <c r="K466" i="19"/>
  <c r="K482" i="19"/>
  <c r="K498" i="19"/>
  <c r="P70" i="20"/>
  <c r="K133" i="20"/>
  <c r="N22" i="20"/>
  <c r="K229" i="20"/>
  <c r="N273" i="20"/>
  <c r="N271" i="20" s="1"/>
  <c r="M292" i="20"/>
  <c r="M290" i="20" s="1"/>
  <c r="P290" i="20" s="1"/>
  <c r="P333" i="20"/>
  <c r="K343" i="20"/>
  <c r="K350" i="20"/>
  <c r="K396" i="20"/>
  <c r="K401" i="20"/>
  <c r="K424" i="20"/>
  <c r="O435" i="20"/>
  <c r="N34" i="21"/>
  <c r="N14" i="21" s="1"/>
  <c r="K626" i="18"/>
  <c r="N292" i="19"/>
  <c r="N290" i="19" s="1"/>
  <c r="N33" i="19"/>
  <c r="N13" i="19" s="1"/>
  <c r="N120" i="20"/>
  <c r="L34" i="20"/>
  <c r="O566" i="20"/>
  <c r="O582" i="20"/>
  <c r="M22" i="21"/>
  <c r="M12" i="21" s="1"/>
  <c r="K164" i="21"/>
  <c r="K189" i="21"/>
  <c r="L294" i="21"/>
  <c r="K328" i="21"/>
  <c r="P333" i="21"/>
  <c r="K343" i="21"/>
  <c r="K372" i="21"/>
  <c r="K423" i="21"/>
  <c r="K626" i="21"/>
  <c r="K372" i="18"/>
  <c r="K423" i="18"/>
  <c r="O533" i="18"/>
  <c r="O551" i="18"/>
  <c r="K591" i="18"/>
  <c r="K628" i="18"/>
  <c r="K631" i="18"/>
  <c r="L45" i="19"/>
  <c r="O45" i="19" s="1"/>
  <c r="L122" i="19"/>
  <c r="L120" i="19" s="1"/>
  <c r="O120" i="19" s="1"/>
  <c r="K164" i="19"/>
  <c r="K185" i="19"/>
  <c r="P224" i="19"/>
  <c r="P333" i="19"/>
  <c r="K377" i="19"/>
  <c r="O401" i="19"/>
  <c r="K424" i="19"/>
  <c r="K431" i="19"/>
  <c r="O435" i="19"/>
  <c r="K455" i="19"/>
  <c r="K473" i="19"/>
  <c r="O564" i="19"/>
  <c r="O597" i="19"/>
  <c r="K189" i="20"/>
  <c r="P224" i="20"/>
  <c r="L333" i="20"/>
  <c r="O333" i="20" s="1"/>
  <c r="K340" i="20"/>
  <c r="O383" i="20"/>
  <c r="O401" i="20"/>
  <c r="K421" i="20"/>
  <c r="K425" i="20"/>
  <c r="K432" i="20"/>
  <c r="K533" i="20"/>
  <c r="O597" i="20"/>
  <c r="L98" i="21"/>
  <c r="L96" i="21" s="1"/>
  <c r="L94" i="21" s="1"/>
  <c r="K112" i="21"/>
  <c r="K158" i="21"/>
  <c r="K185" i="21"/>
  <c r="K266" i="21"/>
  <c r="O354" i="21"/>
  <c r="O385" i="21"/>
  <c r="O404" i="21"/>
  <c r="K430" i="21"/>
  <c r="K435" i="21"/>
  <c r="O553" i="21"/>
  <c r="K563" i="21"/>
  <c r="K591" i="21"/>
  <c r="K628" i="21"/>
  <c r="O25" i="1"/>
  <c r="L15" i="1"/>
  <c r="O15" i="1" s="1"/>
  <c r="M118" i="2"/>
  <c r="P19" i="1"/>
  <c r="N19" i="1"/>
  <c r="O19" i="2"/>
  <c r="P19" i="2"/>
  <c r="M271" i="2"/>
  <c r="O42" i="1"/>
  <c r="O54" i="1"/>
  <c r="M94" i="2"/>
  <c r="P96" i="2"/>
  <c r="P272" i="4"/>
  <c r="M15" i="1"/>
  <c r="P15" i="1" s="1"/>
  <c r="L21" i="1"/>
  <c r="N61" i="1"/>
  <c r="I398" i="1"/>
  <c r="L15" i="2"/>
  <c r="N22" i="2"/>
  <c r="L24" i="2"/>
  <c r="M28" i="2"/>
  <c r="P28" i="2" s="1"/>
  <c r="P98" i="2"/>
  <c r="M222" i="2"/>
  <c r="M220" i="2" s="1"/>
  <c r="M290" i="2"/>
  <c r="O337" i="2"/>
  <c r="N19" i="3"/>
  <c r="L24" i="3"/>
  <c r="P272" i="3"/>
  <c r="N34" i="3"/>
  <c r="N14" i="3" s="1"/>
  <c r="O537" i="3"/>
  <c r="O251" i="4"/>
  <c r="O352" i="4"/>
  <c r="L32" i="4"/>
  <c r="P119" i="3"/>
  <c r="M30" i="1"/>
  <c r="P30" i="1" s="1"/>
  <c r="L598" i="1"/>
  <c r="O598" i="1" s="1"/>
  <c r="I632" i="1"/>
  <c r="K632" i="1" s="1"/>
  <c r="M15" i="2"/>
  <c r="N19" i="2"/>
  <c r="M310" i="2"/>
  <c r="K423" i="2"/>
  <c r="O601" i="2"/>
  <c r="P224" i="3"/>
  <c r="P333" i="4"/>
  <c r="M331" i="4"/>
  <c r="I64" i="1"/>
  <c r="K64" i="1" s="1"/>
  <c r="L102" i="1"/>
  <c r="L226" i="1"/>
  <c r="N275" i="1"/>
  <c r="L26" i="2"/>
  <c r="N331" i="2"/>
  <c r="K430" i="2"/>
  <c r="K435" i="2"/>
  <c r="M22" i="3"/>
  <c r="P45" i="3"/>
  <c r="M43" i="3"/>
  <c r="M41" i="3" s="1"/>
  <c r="K112" i="3"/>
  <c r="L122" i="3"/>
  <c r="N222" i="3"/>
  <c r="N220" i="3" s="1"/>
  <c r="N22" i="3"/>
  <c r="M310" i="3"/>
  <c r="P310" i="3" s="1"/>
  <c r="P312" i="3"/>
  <c r="P224" i="4"/>
  <c r="L275" i="4"/>
  <c r="M11" i="1"/>
  <c r="P21" i="1"/>
  <c r="I93" i="1"/>
  <c r="I111" i="1"/>
  <c r="I132" i="1"/>
  <c r="I158" i="1"/>
  <c r="I164" i="1"/>
  <c r="O21" i="2"/>
  <c r="K431" i="2"/>
  <c r="K455" i="2"/>
  <c r="K635" i="2"/>
  <c r="L31" i="3"/>
  <c r="L11" i="3" s="1"/>
  <c r="O552" i="3"/>
  <c r="P119" i="4"/>
  <c r="O141" i="4"/>
  <c r="N33" i="4"/>
  <c r="N13" i="4" s="1"/>
  <c r="O141" i="3"/>
  <c r="I201" i="1"/>
  <c r="I373" i="1"/>
  <c r="K373" i="1" s="1"/>
  <c r="I417" i="1"/>
  <c r="J450" i="1"/>
  <c r="K86" i="2"/>
  <c r="N120" i="2"/>
  <c r="P120" i="2" s="1"/>
  <c r="P122" i="2"/>
  <c r="M142" i="2"/>
  <c r="M252" i="2"/>
  <c r="K265" i="2"/>
  <c r="N273" i="2"/>
  <c r="K342" i="2"/>
  <c r="K350" i="2"/>
  <c r="O95" i="3"/>
  <c r="O438" i="3"/>
  <c r="L33" i="3"/>
  <c r="O33" i="3" s="1"/>
  <c r="P24" i="4"/>
  <c r="M14" i="4"/>
  <c r="P14" i="4" s="1"/>
  <c r="P42" i="4"/>
  <c r="L144" i="4"/>
  <c r="L23" i="4"/>
  <c r="O318" i="4"/>
  <c r="O600" i="4"/>
  <c r="L33" i="4"/>
  <c r="O33" i="4" s="1"/>
  <c r="M13" i="1"/>
  <c r="P13" i="1" s="1"/>
  <c r="N95" i="1"/>
  <c r="N224" i="1"/>
  <c r="M254" i="1"/>
  <c r="L334" i="1"/>
  <c r="I491" i="1"/>
  <c r="K491" i="1" s="1"/>
  <c r="M43" i="2"/>
  <c r="P45" i="2"/>
  <c r="P221" i="2"/>
  <c r="O19" i="3"/>
  <c r="K235" i="3"/>
  <c r="O354" i="3"/>
  <c r="L34" i="3"/>
  <c r="P29" i="4"/>
  <c r="M28" i="4"/>
  <c r="P28" i="4" s="1"/>
  <c r="O49" i="4"/>
  <c r="M49" i="4"/>
  <c r="M43" i="4" s="1"/>
  <c r="L26" i="4"/>
  <c r="O436" i="4"/>
  <c r="L31" i="4"/>
  <c r="L11" i="4" s="1"/>
  <c r="P333" i="3"/>
  <c r="M28" i="1"/>
  <c r="P28" i="1" s="1"/>
  <c r="I285" i="1"/>
  <c r="M55" i="2"/>
  <c r="K376" i="2"/>
  <c r="K422" i="2"/>
  <c r="O251" i="3"/>
  <c r="O337" i="3"/>
  <c r="M9" i="4"/>
  <c r="O21" i="4"/>
  <c r="L19" i="4"/>
  <c r="L24" i="4"/>
  <c r="N292" i="4"/>
  <c r="N26" i="4"/>
  <c r="N16" i="4" s="1"/>
  <c r="O537" i="4"/>
  <c r="N34" i="4"/>
  <c r="K614" i="2"/>
  <c r="K622" i="2"/>
  <c r="L15" i="3"/>
  <c r="O15" i="3" s="1"/>
  <c r="M19" i="3"/>
  <c r="M28" i="3"/>
  <c r="P28" i="3" s="1"/>
  <c r="M120" i="3"/>
  <c r="P120" i="3" s="1"/>
  <c r="M273" i="3"/>
  <c r="P314" i="3"/>
  <c r="K616" i="3"/>
  <c r="K624" i="3"/>
  <c r="M120" i="4"/>
  <c r="M273" i="4"/>
  <c r="O330" i="5"/>
  <c r="O385" i="5"/>
  <c r="L34" i="5"/>
  <c r="M15" i="3"/>
  <c r="P15" i="3" s="1"/>
  <c r="K611" i="3"/>
  <c r="K619" i="3"/>
  <c r="M13" i="4"/>
  <c r="P13" i="4" s="1"/>
  <c r="M22" i="4"/>
  <c r="P32" i="4"/>
  <c r="N43" i="4"/>
  <c r="N41" i="4" s="1"/>
  <c r="M94" i="4"/>
  <c r="P94" i="4" s="1"/>
  <c r="I367" i="4"/>
  <c r="K367" i="4" s="1"/>
  <c r="P19" i="5"/>
  <c r="P221" i="5"/>
  <c r="M220" i="5"/>
  <c r="P337" i="5"/>
  <c r="M331" i="5"/>
  <c r="P29" i="6"/>
  <c r="M28" i="6"/>
  <c r="P28" i="6" s="1"/>
  <c r="M337" i="3"/>
  <c r="P337" i="3" s="1"/>
  <c r="K614" i="3"/>
  <c r="K622" i="3"/>
  <c r="P11" i="4"/>
  <c r="M19" i="4"/>
  <c r="M220" i="4"/>
  <c r="L23" i="5"/>
  <c r="L45" i="5"/>
  <c r="P70" i="5"/>
  <c r="N68" i="5"/>
  <c r="N66" i="5" s="1"/>
  <c r="P144" i="5"/>
  <c r="M142" i="5"/>
  <c r="N31" i="5"/>
  <c r="P11" i="6"/>
  <c r="M9" i="6"/>
  <c r="L224" i="5"/>
  <c r="L24" i="5"/>
  <c r="O536" i="5"/>
  <c r="L33" i="5"/>
  <c r="O33" i="5" s="1"/>
  <c r="K617" i="5"/>
  <c r="K614" i="5"/>
  <c r="K619" i="5"/>
  <c r="K611" i="5"/>
  <c r="K616" i="5"/>
  <c r="K618" i="5"/>
  <c r="K615" i="5"/>
  <c r="K612" i="5"/>
  <c r="P19" i="6"/>
  <c r="O221" i="6"/>
  <c r="K618" i="2"/>
  <c r="M14" i="3"/>
  <c r="P14" i="3" s="1"/>
  <c r="O21" i="3"/>
  <c r="N15" i="5"/>
  <c r="N19" i="5"/>
  <c r="P31" i="5"/>
  <c r="M29" i="5"/>
  <c r="M11" i="5"/>
  <c r="N34" i="5"/>
  <c r="N14" i="5" s="1"/>
  <c r="P49" i="5"/>
  <c r="O25" i="6"/>
  <c r="L15" i="6"/>
  <c r="O15" i="6" s="1"/>
  <c r="L19" i="6"/>
  <c r="K613" i="2"/>
  <c r="M11" i="3"/>
  <c r="K615" i="3"/>
  <c r="O597" i="4"/>
  <c r="K631" i="4"/>
  <c r="O19" i="5"/>
  <c r="N55" i="5"/>
  <c r="N53" i="5" s="1"/>
  <c r="P57" i="5"/>
  <c r="N22" i="5"/>
  <c r="P98" i="5"/>
  <c r="P254" i="5"/>
  <c r="M252" i="5"/>
  <c r="N26" i="6"/>
  <c r="N16" i="6" s="1"/>
  <c r="K611" i="2"/>
  <c r="M13" i="3"/>
  <c r="P13" i="3" s="1"/>
  <c r="M55" i="3"/>
  <c r="M250" i="3"/>
  <c r="P250" i="3" s="1"/>
  <c r="M140" i="4"/>
  <c r="N96" i="6"/>
  <c r="N94" i="6" s="1"/>
  <c r="K618" i="4"/>
  <c r="K626" i="4"/>
  <c r="M14" i="5"/>
  <c r="P14" i="5" s="1"/>
  <c r="O49" i="5"/>
  <c r="O337" i="5"/>
  <c r="N15" i="6"/>
  <c r="L26" i="6"/>
  <c r="L45" i="6"/>
  <c r="M49" i="6"/>
  <c r="N55" i="6"/>
  <c r="P55" i="6" s="1"/>
  <c r="K158" i="6"/>
  <c r="O272" i="6"/>
  <c r="P275" i="6"/>
  <c r="K328" i="6"/>
  <c r="K613" i="4"/>
  <c r="O19" i="8"/>
  <c r="K616" i="4"/>
  <c r="K624" i="4"/>
  <c r="M43" i="5"/>
  <c r="M66" i="5"/>
  <c r="M102" i="5"/>
  <c r="M96" i="5" s="1"/>
  <c r="K626" i="5"/>
  <c r="M14" i="6"/>
  <c r="P14" i="6" s="1"/>
  <c r="N68" i="6"/>
  <c r="N66" i="6" s="1"/>
  <c r="M102" i="6"/>
  <c r="P102" i="6" s="1"/>
  <c r="K111" i="6"/>
  <c r="K201" i="6"/>
  <c r="P224" i="6"/>
  <c r="M222" i="6"/>
  <c r="P311" i="6"/>
  <c r="M310" i="6"/>
  <c r="K369" i="6"/>
  <c r="I367" i="6"/>
  <c r="K367" i="6" s="1"/>
  <c r="O383" i="6"/>
  <c r="K429" i="6"/>
  <c r="K614" i="4"/>
  <c r="K622" i="4"/>
  <c r="L15" i="5"/>
  <c r="O15" i="5" s="1"/>
  <c r="M68" i="6"/>
  <c r="K112" i="6"/>
  <c r="M140" i="6"/>
  <c r="L224" i="6"/>
  <c r="O291" i="6"/>
  <c r="P330" i="6"/>
  <c r="M329" i="6"/>
  <c r="O404" i="6"/>
  <c r="P29" i="7"/>
  <c r="M28" i="7"/>
  <c r="P28" i="7" s="1"/>
  <c r="M140" i="7"/>
  <c r="P252" i="7"/>
  <c r="M250" i="7"/>
  <c r="P250" i="7" s="1"/>
  <c r="M271" i="6"/>
  <c r="K612" i="4"/>
  <c r="L26" i="5"/>
  <c r="N22" i="6"/>
  <c r="P98" i="6"/>
  <c r="P254" i="6"/>
  <c r="I367" i="5"/>
  <c r="K367" i="5" s="1"/>
  <c r="M120" i="6"/>
  <c r="P120" i="6" s="1"/>
  <c r="K164" i="6"/>
  <c r="K624" i="6"/>
  <c r="K626" i="7"/>
  <c r="N26" i="8"/>
  <c r="P54" i="8"/>
  <c r="M53" i="8"/>
  <c r="O95" i="8"/>
  <c r="P119" i="9"/>
  <c r="M310" i="9"/>
  <c r="P310" i="9" s="1"/>
  <c r="P312" i="9"/>
  <c r="N33" i="9"/>
  <c r="N13" i="9" s="1"/>
  <c r="P275" i="10"/>
  <c r="N273" i="10"/>
  <c r="O54" i="11"/>
  <c r="K613" i="7"/>
  <c r="K621" i="7"/>
  <c r="N43" i="8"/>
  <c r="N41" i="8" s="1"/>
  <c r="P95" i="8"/>
  <c r="M94" i="8"/>
  <c r="P94" i="8" s="1"/>
  <c r="K185" i="8"/>
  <c r="P337" i="8"/>
  <c r="N19" i="9"/>
  <c r="P98" i="9"/>
  <c r="N96" i="9"/>
  <c r="N94" i="9" s="1"/>
  <c r="P333" i="9"/>
  <c r="M331" i="9"/>
  <c r="K622" i="6"/>
  <c r="K624" i="8"/>
  <c r="K621" i="8"/>
  <c r="K626" i="8"/>
  <c r="K620" i="8"/>
  <c r="K625" i="8"/>
  <c r="O95" i="9"/>
  <c r="O251" i="9"/>
  <c r="L31" i="9"/>
  <c r="L11" i="9" s="1"/>
  <c r="O351" i="9"/>
  <c r="P102" i="10"/>
  <c r="K371" i="10"/>
  <c r="I367" i="10"/>
  <c r="K367" i="10" s="1"/>
  <c r="O406" i="11"/>
  <c r="L34" i="11"/>
  <c r="K617" i="6"/>
  <c r="K625" i="6"/>
  <c r="M15" i="7"/>
  <c r="P15" i="7" s="1"/>
  <c r="P34" i="7"/>
  <c r="M55" i="7"/>
  <c r="K371" i="7"/>
  <c r="K611" i="7"/>
  <c r="K619" i="7"/>
  <c r="M13" i="8"/>
  <c r="P13" i="8" s="1"/>
  <c r="M22" i="8"/>
  <c r="P67" i="8"/>
  <c r="P122" i="8"/>
  <c r="M120" i="8"/>
  <c r="K186" i="8"/>
  <c r="P311" i="8"/>
  <c r="K623" i="8"/>
  <c r="N22" i="9"/>
  <c r="M22" i="9"/>
  <c r="P45" i="9"/>
  <c r="M43" i="9"/>
  <c r="P272" i="9"/>
  <c r="L333" i="9"/>
  <c r="K620" i="6"/>
  <c r="N96" i="7"/>
  <c r="N94" i="7" s="1"/>
  <c r="N142" i="7"/>
  <c r="K622" i="7"/>
  <c r="M19" i="8"/>
  <c r="L23" i="9"/>
  <c r="P224" i="9"/>
  <c r="N222" i="9"/>
  <c r="N220" i="9" s="1"/>
  <c r="P70" i="10"/>
  <c r="N68" i="10"/>
  <c r="O251" i="10"/>
  <c r="O95" i="11"/>
  <c r="K615" i="6"/>
  <c r="K623" i="6"/>
  <c r="K617" i="7"/>
  <c r="K625" i="7"/>
  <c r="M15" i="8"/>
  <c r="P15" i="8" s="1"/>
  <c r="O119" i="8"/>
  <c r="O221" i="8"/>
  <c r="P9" i="9"/>
  <c r="O141" i="9"/>
  <c r="P19" i="10"/>
  <c r="K618" i="6"/>
  <c r="K626" i="6"/>
  <c r="N26" i="7"/>
  <c r="N16" i="7" s="1"/>
  <c r="M222" i="7"/>
  <c r="K612" i="7"/>
  <c r="K620" i="7"/>
  <c r="L26" i="8"/>
  <c r="L34" i="8"/>
  <c r="P314" i="8"/>
  <c r="M312" i="8"/>
  <c r="P312" i="8" s="1"/>
  <c r="N26" i="9"/>
  <c r="N16" i="9" s="1"/>
  <c r="N32" i="9"/>
  <c r="N30" i="9" s="1"/>
  <c r="M11" i="7"/>
  <c r="L23" i="8"/>
  <c r="K189" i="8"/>
  <c r="P224" i="8"/>
  <c r="O19" i="9"/>
  <c r="N34" i="9"/>
  <c r="P67" i="10"/>
  <c r="M66" i="10"/>
  <c r="K622" i="9"/>
  <c r="O54" i="10"/>
  <c r="O141" i="10"/>
  <c r="P333" i="10"/>
  <c r="O25" i="11"/>
  <c r="L15" i="11"/>
  <c r="O15" i="11" s="1"/>
  <c r="O49" i="11"/>
  <c r="L26" i="11"/>
  <c r="O141" i="11"/>
  <c r="O251" i="12"/>
  <c r="O383" i="9"/>
  <c r="K625" i="9"/>
  <c r="O21" i="10"/>
  <c r="L19" i="10"/>
  <c r="O42" i="10"/>
  <c r="L57" i="10"/>
  <c r="L23" i="10"/>
  <c r="O95" i="10"/>
  <c r="O552" i="10"/>
  <c r="L31" i="10"/>
  <c r="P98" i="11"/>
  <c r="M96" i="11"/>
  <c r="M22" i="11"/>
  <c r="P254" i="11"/>
  <c r="M252" i="11"/>
  <c r="O438" i="11"/>
  <c r="L33" i="11"/>
  <c r="O33" i="11" s="1"/>
  <c r="K618" i="11"/>
  <c r="K615" i="11"/>
  <c r="K612" i="11"/>
  <c r="K617" i="11"/>
  <c r="K614" i="11"/>
  <c r="K619" i="11"/>
  <c r="K611" i="11"/>
  <c r="K616" i="11"/>
  <c r="M9" i="12"/>
  <c r="P11" i="12"/>
  <c r="P275" i="13"/>
  <c r="N273" i="13"/>
  <c r="N271" i="13" s="1"/>
  <c r="P271" i="13" s="1"/>
  <c r="O535" i="14"/>
  <c r="L32" i="14"/>
  <c r="O337" i="8"/>
  <c r="K612" i="8"/>
  <c r="M30" i="9"/>
  <c r="M220" i="9"/>
  <c r="O537" i="9"/>
  <c r="K612" i="9"/>
  <c r="K620" i="9"/>
  <c r="K635" i="9"/>
  <c r="P42" i="10"/>
  <c r="O67" i="10"/>
  <c r="K112" i="10"/>
  <c r="P254" i="10"/>
  <c r="M252" i="10"/>
  <c r="O330" i="10"/>
  <c r="K428" i="10"/>
  <c r="O455" i="10"/>
  <c r="K499" i="10"/>
  <c r="O564" i="10"/>
  <c r="M9" i="11"/>
  <c r="P11" i="11"/>
  <c r="P33" i="11"/>
  <c r="M13" i="11"/>
  <c r="P13" i="11" s="1"/>
  <c r="N55" i="11"/>
  <c r="N53" i="11" s="1"/>
  <c r="P53" i="11" s="1"/>
  <c r="N22" i="11"/>
  <c r="P57" i="11"/>
  <c r="K65" i="11"/>
  <c r="K173" i="11"/>
  <c r="K219" i="11"/>
  <c r="O251" i="11"/>
  <c r="P275" i="11"/>
  <c r="N273" i="11"/>
  <c r="N271" i="11" s="1"/>
  <c r="P333" i="11"/>
  <c r="M331" i="11"/>
  <c r="K343" i="11"/>
  <c r="K428" i="11"/>
  <c r="O455" i="11"/>
  <c r="K499" i="11"/>
  <c r="M53" i="12"/>
  <c r="O582" i="12"/>
  <c r="N32" i="12"/>
  <c r="N30" i="12" s="1"/>
  <c r="O21" i="9"/>
  <c r="K618" i="9"/>
  <c r="K626" i="9"/>
  <c r="P24" i="10"/>
  <c r="M14" i="10"/>
  <c r="P14" i="10" s="1"/>
  <c r="O49" i="10"/>
  <c r="L26" i="10"/>
  <c r="L70" i="10"/>
  <c r="K185" i="10"/>
  <c r="P224" i="10"/>
  <c r="P272" i="10"/>
  <c r="M271" i="10"/>
  <c r="L275" i="10"/>
  <c r="K375" i="10"/>
  <c r="N34" i="10"/>
  <c r="N14" i="10" s="1"/>
  <c r="O459" i="10"/>
  <c r="O568" i="10"/>
  <c r="O580" i="10"/>
  <c r="L24" i="11"/>
  <c r="P70" i="11"/>
  <c r="N68" i="11"/>
  <c r="N66" i="11" s="1"/>
  <c r="K112" i="11"/>
  <c r="K185" i="11"/>
  <c r="P224" i="11"/>
  <c r="P272" i="11"/>
  <c r="M271" i="11"/>
  <c r="O330" i="11"/>
  <c r="O347" i="11"/>
  <c r="N34" i="11"/>
  <c r="N14" i="11" s="1"/>
  <c r="O459" i="11"/>
  <c r="K613" i="8"/>
  <c r="K613" i="9"/>
  <c r="K621" i="9"/>
  <c r="N22" i="10"/>
  <c r="N55" i="10"/>
  <c r="P55" i="10" s="1"/>
  <c r="P119" i="10"/>
  <c r="M118" i="10"/>
  <c r="P118" i="10" s="1"/>
  <c r="M26" i="11"/>
  <c r="P102" i="11"/>
  <c r="P122" i="11"/>
  <c r="N120" i="11"/>
  <c r="N118" i="11" s="1"/>
  <c r="O141" i="12"/>
  <c r="M273" i="8"/>
  <c r="K616" i="8"/>
  <c r="M68" i="9"/>
  <c r="M292" i="9"/>
  <c r="P292" i="9" s="1"/>
  <c r="K616" i="9"/>
  <c r="L34" i="10"/>
  <c r="L122" i="10"/>
  <c r="P221" i="10"/>
  <c r="O584" i="10"/>
  <c r="O21" i="11"/>
  <c r="L19" i="11"/>
  <c r="P24" i="11"/>
  <c r="M14" i="11"/>
  <c r="P14" i="11" s="1"/>
  <c r="P42" i="11"/>
  <c r="P67" i="11"/>
  <c r="M66" i="11"/>
  <c r="N26" i="11"/>
  <c r="N16" i="11" s="1"/>
  <c r="N96" i="11"/>
  <c r="N94" i="11" s="1"/>
  <c r="L122" i="11"/>
  <c r="P221" i="11"/>
  <c r="O337" i="11"/>
  <c r="N31" i="11"/>
  <c r="N29" i="11" s="1"/>
  <c r="K372" i="11"/>
  <c r="K611" i="8"/>
  <c r="M13" i="9"/>
  <c r="P13" i="9" s="1"/>
  <c r="M55" i="9"/>
  <c r="K611" i="9"/>
  <c r="K65" i="10"/>
  <c r="K85" i="10"/>
  <c r="P98" i="10"/>
  <c r="M96" i="10"/>
  <c r="M22" i="10"/>
  <c r="P144" i="10"/>
  <c r="M142" i="10"/>
  <c r="K420" i="10"/>
  <c r="K618" i="10"/>
  <c r="K615" i="10"/>
  <c r="K612" i="10"/>
  <c r="K614" i="10"/>
  <c r="K619" i="10"/>
  <c r="K611" i="10"/>
  <c r="K616" i="10"/>
  <c r="P29" i="11"/>
  <c r="M28" i="11"/>
  <c r="P28" i="11" s="1"/>
  <c r="P119" i="11"/>
  <c r="M118" i="11"/>
  <c r="P144" i="11"/>
  <c r="M142" i="11"/>
  <c r="P337" i="11"/>
  <c r="K420" i="11"/>
  <c r="K613" i="11"/>
  <c r="M43" i="10"/>
  <c r="M41" i="10" s="1"/>
  <c r="O102" i="10"/>
  <c r="K624" i="10"/>
  <c r="M43" i="11"/>
  <c r="O102" i="11"/>
  <c r="K624" i="11"/>
  <c r="P42" i="12"/>
  <c r="M41" i="12"/>
  <c r="P224" i="12"/>
  <c r="K270" i="12"/>
  <c r="K432" i="12"/>
  <c r="O21" i="13"/>
  <c r="N55" i="13"/>
  <c r="P55" i="13" s="1"/>
  <c r="P57" i="13"/>
  <c r="O566" i="13"/>
  <c r="O19" i="14"/>
  <c r="P31" i="14"/>
  <c r="M29" i="14"/>
  <c r="M11" i="14"/>
  <c r="N43" i="10"/>
  <c r="N41" i="10" s="1"/>
  <c r="P29" i="12"/>
  <c r="M28" i="12"/>
  <c r="P28" i="12" s="1"/>
  <c r="P333" i="12"/>
  <c r="K343" i="12"/>
  <c r="K416" i="12"/>
  <c r="O580" i="12"/>
  <c r="K620" i="12"/>
  <c r="P24" i="13"/>
  <c r="M14" i="13"/>
  <c r="P14" i="13" s="1"/>
  <c r="P221" i="13"/>
  <c r="P254" i="13"/>
  <c r="M252" i="13"/>
  <c r="K345" i="13"/>
  <c r="K369" i="13"/>
  <c r="I367" i="13"/>
  <c r="K367" i="13" s="1"/>
  <c r="O401" i="13"/>
  <c r="K426" i="13"/>
  <c r="O457" i="13"/>
  <c r="O582" i="13"/>
  <c r="N15" i="14"/>
  <c r="N19" i="14"/>
  <c r="K622" i="10"/>
  <c r="K622" i="11"/>
  <c r="P144" i="13"/>
  <c r="M142" i="13"/>
  <c r="O534" i="13"/>
  <c r="L31" i="13"/>
  <c r="P34" i="16"/>
  <c r="M14" i="16"/>
  <c r="P14" i="16" s="1"/>
  <c r="K625" i="11"/>
  <c r="P57" i="12"/>
  <c r="O311" i="12"/>
  <c r="O19" i="13"/>
  <c r="P31" i="13"/>
  <c r="M29" i="13"/>
  <c r="M11" i="13"/>
  <c r="N22" i="13"/>
  <c r="N26" i="13"/>
  <c r="N16" i="13" s="1"/>
  <c r="N96" i="13"/>
  <c r="N94" i="13" s="1"/>
  <c r="P19" i="14"/>
  <c r="M222" i="10"/>
  <c r="M290" i="10"/>
  <c r="P290" i="10" s="1"/>
  <c r="K620" i="10"/>
  <c r="M222" i="11"/>
  <c r="K620" i="11"/>
  <c r="K189" i="12"/>
  <c r="P272" i="12"/>
  <c r="M271" i="12"/>
  <c r="L275" i="12"/>
  <c r="K424" i="12"/>
  <c r="O537" i="12"/>
  <c r="L23" i="13"/>
  <c r="L45" i="13"/>
  <c r="L224" i="13"/>
  <c r="L24" i="13"/>
  <c r="L32" i="13"/>
  <c r="O383" i="13"/>
  <c r="K631" i="13"/>
  <c r="P42" i="14"/>
  <c r="K623" i="10"/>
  <c r="L23" i="11"/>
  <c r="K623" i="11"/>
  <c r="P119" i="12"/>
  <c r="O337" i="12"/>
  <c r="M337" i="12"/>
  <c r="K372" i="12"/>
  <c r="P42" i="13"/>
  <c r="K418" i="13"/>
  <c r="O437" i="13"/>
  <c r="O554" i="13"/>
  <c r="L33" i="13"/>
  <c r="O33" i="13" s="1"/>
  <c r="M14" i="12"/>
  <c r="P14" i="12" s="1"/>
  <c r="P291" i="12"/>
  <c r="K396" i="12"/>
  <c r="O438" i="12"/>
  <c r="L33" i="12"/>
  <c r="O33" i="12" s="1"/>
  <c r="K629" i="12"/>
  <c r="P98" i="13"/>
  <c r="K219" i="13"/>
  <c r="M290" i="13"/>
  <c r="P290" i="13" s="1"/>
  <c r="P292" i="13"/>
  <c r="O330" i="13"/>
  <c r="O380" i="13"/>
  <c r="N32" i="13"/>
  <c r="N30" i="13" s="1"/>
  <c r="K465" i="13"/>
  <c r="K481" i="13"/>
  <c r="K497" i="13"/>
  <c r="K613" i="12"/>
  <c r="K613" i="13"/>
  <c r="M19" i="15"/>
  <c r="P21" i="15"/>
  <c r="M11" i="15"/>
  <c r="L57" i="15"/>
  <c r="L23" i="15"/>
  <c r="O67" i="15"/>
  <c r="O119" i="15"/>
  <c r="K616" i="12"/>
  <c r="K624" i="12"/>
  <c r="M102" i="13"/>
  <c r="P102" i="13" s="1"/>
  <c r="K616" i="13"/>
  <c r="M49" i="14"/>
  <c r="M43" i="14" s="1"/>
  <c r="P141" i="14"/>
  <c r="K249" i="14"/>
  <c r="K466" i="14"/>
  <c r="K632" i="14"/>
  <c r="K109" i="15"/>
  <c r="O437" i="15"/>
  <c r="L32" i="15"/>
  <c r="K614" i="12"/>
  <c r="K622" i="12"/>
  <c r="L15" i="13"/>
  <c r="O15" i="13" s="1"/>
  <c r="K614" i="13"/>
  <c r="K622" i="13"/>
  <c r="L15" i="14"/>
  <c r="O15" i="14" s="1"/>
  <c r="P45" i="14"/>
  <c r="K229" i="14"/>
  <c r="P254" i="14"/>
  <c r="M252" i="14"/>
  <c r="K617" i="13"/>
  <c r="K625" i="13"/>
  <c r="M15" i="14"/>
  <c r="P15" i="14" s="1"/>
  <c r="O42" i="14"/>
  <c r="K381" i="14"/>
  <c r="K474" i="14"/>
  <c r="M222" i="12"/>
  <c r="K612" i="12"/>
  <c r="L26" i="13"/>
  <c r="M49" i="13"/>
  <c r="K612" i="13"/>
  <c r="L26" i="14"/>
  <c r="L57" i="14"/>
  <c r="P144" i="14"/>
  <c r="M142" i="14"/>
  <c r="P221" i="14"/>
  <c r="L254" i="14"/>
  <c r="P275" i="14"/>
  <c r="N273" i="14"/>
  <c r="P273" i="14" s="1"/>
  <c r="M290" i="14"/>
  <c r="P290" i="14" s="1"/>
  <c r="K615" i="12"/>
  <c r="M329" i="13"/>
  <c r="K615" i="13"/>
  <c r="K285" i="14"/>
  <c r="K402" i="14"/>
  <c r="K498" i="14"/>
  <c r="P70" i="16"/>
  <c r="M68" i="16"/>
  <c r="L144" i="14"/>
  <c r="K482" i="14"/>
  <c r="M331" i="14"/>
  <c r="K615" i="14"/>
  <c r="K173" i="15"/>
  <c r="K377" i="15"/>
  <c r="O401" i="15"/>
  <c r="P25" i="16"/>
  <c r="M15" i="16"/>
  <c r="P15" i="16" s="1"/>
  <c r="L26" i="16"/>
  <c r="P144" i="16"/>
  <c r="M310" i="16"/>
  <c r="P310" i="16" s="1"/>
  <c r="P312" i="16"/>
  <c r="M271" i="14"/>
  <c r="K618" i="14"/>
  <c r="K213" i="15"/>
  <c r="K219" i="15"/>
  <c r="N142" i="16"/>
  <c r="N140" i="16" s="1"/>
  <c r="O353" i="16"/>
  <c r="L33" i="16"/>
  <c r="L32" i="16"/>
  <c r="O437" i="16"/>
  <c r="K613" i="14"/>
  <c r="M66" i="14"/>
  <c r="M120" i="14"/>
  <c r="P120" i="14" s="1"/>
  <c r="K616" i="14"/>
  <c r="K624" i="14"/>
  <c r="M66" i="15"/>
  <c r="M102" i="15"/>
  <c r="K215" i="15"/>
  <c r="P254" i="15"/>
  <c r="M252" i="15"/>
  <c r="K345" i="15"/>
  <c r="M19" i="16"/>
  <c r="N96" i="16"/>
  <c r="N94" i="16" s="1"/>
  <c r="N26" i="16"/>
  <c r="N16" i="16" s="1"/>
  <c r="P330" i="16"/>
  <c r="L333" i="16"/>
  <c r="N96" i="17"/>
  <c r="N94" i="17" s="1"/>
  <c r="N22" i="17"/>
  <c r="K619" i="14"/>
  <c r="O221" i="15"/>
  <c r="M329" i="15"/>
  <c r="P57" i="16"/>
  <c r="M55" i="16"/>
  <c r="M22" i="16"/>
  <c r="K614" i="14"/>
  <c r="L15" i="15"/>
  <c r="O15" i="15" s="1"/>
  <c r="M28" i="15"/>
  <c r="P28" i="15" s="1"/>
  <c r="M120" i="15"/>
  <c r="P120" i="15" s="1"/>
  <c r="P221" i="15"/>
  <c r="M220" i="15"/>
  <c r="O330" i="15"/>
  <c r="K418" i="15"/>
  <c r="O385" i="16"/>
  <c r="N34" i="16"/>
  <c r="N14" i="16" s="1"/>
  <c r="O291" i="17"/>
  <c r="L122" i="15"/>
  <c r="K138" i="15"/>
  <c r="P144" i="15"/>
  <c r="M142" i="15"/>
  <c r="L224" i="15"/>
  <c r="P275" i="15"/>
  <c r="M273" i="15"/>
  <c r="K369" i="15"/>
  <c r="I367" i="15"/>
  <c r="K367" i="15" s="1"/>
  <c r="O380" i="15"/>
  <c r="K473" i="15"/>
  <c r="N22" i="16"/>
  <c r="O291" i="16"/>
  <c r="O42" i="17"/>
  <c r="O228" i="17"/>
  <c r="L26" i="17"/>
  <c r="N34" i="17"/>
  <c r="L32" i="17"/>
  <c r="O437" i="17"/>
  <c r="K613" i="15"/>
  <c r="K621" i="15"/>
  <c r="M11" i="16"/>
  <c r="M29" i="16"/>
  <c r="M140" i="16"/>
  <c r="K613" i="16"/>
  <c r="P19" i="17"/>
  <c r="K84" i="17"/>
  <c r="P98" i="17"/>
  <c r="P144" i="17"/>
  <c r="K328" i="17"/>
  <c r="K431" i="17"/>
  <c r="P24" i="18"/>
  <c r="M14" i="18"/>
  <c r="P14" i="18" s="1"/>
  <c r="L70" i="18"/>
  <c r="L24" i="18"/>
  <c r="O330" i="18"/>
  <c r="K614" i="15"/>
  <c r="K622" i="15"/>
  <c r="M220" i="16"/>
  <c r="M337" i="16"/>
  <c r="K614" i="16"/>
  <c r="K622" i="16"/>
  <c r="P330" i="17"/>
  <c r="K617" i="15"/>
  <c r="K625" i="15"/>
  <c r="M96" i="16"/>
  <c r="I367" i="16"/>
  <c r="K367" i="16" s="1"/>
  <c r="K617" i="16"/>
  <c r="K625" i="16"/>
  <c r="L33" i="17"/>
  <c r="O33" i="17" s="1"/>
  <c r="K111" i="17"/>
  <c r="K164" i="17"/>
  <c r="L294" i="17"/>
  <c r="L23" i="17"/>
  <c r="L45" i="16"/>
  <c r="M290" i="16"/>
  <c r="P290" i="16" s="1"/>
  <c r="K612" i="16"/>
  <c r="P25" i="17"/>
  <c r="M15" i="17"/>
  <c r="K580" i="17"/>
  <c r="O19" i="17"/>
  <c r="O385" i="17"/>
  <c r="M43" i="17"/>
  <c r="M118" i="17"/>
  <c r="P333" i="17"/>
  <c r="K618" i="17"/>
  <c r="P45" i="18"/>
  <c r="O95" i="18"/>
  <c r="P221" i="18"/>
  <c r="M220" i="18"/>
  <c r="L224" i="18"/>
  <c r="P9" i="19"/>
  <c r="P32" i="17"/>
  <c r="K613" i="17"/>
  <c r="M55" i="17"/>
  <c r="M96" i="17"/>
  <c r="M142" i="17"/>
  <c r="M252" i="17"/>
  <c r="K371" i="17"/>
  <c r="K611" i="17"/>
  <c r="K619" i="17"/>
  <c r="N22" i="18"/>
  <c r="P42" i="18"/>
  <c r="P254" i="18"/>
  <c r="M252" i="18"/>
  <c r="P31" i="17"/>
  <c r="M220" i="17"/>
  <c r="M337" i="17"/>
  <c r="K614" i="17"/>
  <c r="K622" i="17"/>
  <c r="P11" i="18"/>
  <c r="O54" i="18"/>
  <c r="K617" i="17"/>
  <c r="N19" i="18"/>
  <c r="P29" i="18"/>
  <c r="M49" i="18"/>
  <c r="M43" i="18" s="1"/>
  <c r="L26" i="18"/>
  <c r="N55" i="18"/>
  <c r="N120" i="18"/>
  <c r="N118" i="18" s="1"/>
  <c r="O347" i="18"/>
  <c r="I367" i="18"/>
  <c r="K367" i="18" s="1"/>
  <c r="K371" i="18"/>
  <c r="M290" i="17"/>
  <c r="P290" i="17" s="1"/>
  <c r="K612" i="17"/>
  <c r="P67" i="18"/>
  <c r="N273" i="18"/>
  <c r="N271" i="18" s="1"/>
  <c r="O49" i="18"/>
  <c r="P144" i="18"/>
  <c r="M142" i="18"/>
  <c r="K612" i="18"/>
  <c r="K620" i="18"/>
  <c r="M30" i="19"/>
  <c r="P30" i="19" s="1"/>
  <c r="P32" i="19"/>
  <c r="P70" i="19"/>
  <c r="M68" i="19"/>
  <c r="P144" i="19"/>
  <c r="K149" i="19"/>
  <c r="K615" i="18"/>
  <c r="K623" i="18"/>
  <c r="O291" i="19"/>
  <c r="L333" i="19"/>
  <c r="K618" i="18"/>
  <c r="P57" i="19"/>
  <c r="M55" i="19"/>
  <c r="P98" i="19"/>
  <c r="M96" i="19"/>
  <c r="N34" i="19"/>
  <c r="N14" i="19" s="1"/>
  <c r="O385" i="19"/>
  <c r="K613" i="18"/>
  <c r="M22" i="19"/>
  <c r="N22" i="19"/>
  <c r="N43" i="19"/>
  <c r="N41" i="19" s="1"/>
  <c r="N96" i="19"/>
  <c r="N94" i="19" s="1"/>
  <c r="P330" i="19"/>
  <c r="L32" i="19"/>
  <c r="O437" i="19"/>
  <c r="M120" i="18"/>
  <c r="P120" i="18" s="1"/>
  <c r="M273" i="18"/>
  <c r="P273" i="18" s="1"/>
  <c r="K616" i="18"/>
  <c r="K624" i="18"/>
  <c r="K611" i="18"/>
  <c r="K619" i="18"/>
  <c r="L26" i="19"/>
  <c r="O228" i="19"/>
  <c r="K614" i="18"/>
  <c r="K81" i="19"/>
  <c r="M140" i="19"/>
  <c r="P29" i="19"/>
  <c r="M28" i="19"/>
  <c r="P28" i="19" s="1"/>
  <c r="L33" i="19"/>
  <c r="O33" i="19" s="1"/>
  <c r="O353" i="19"/>
  <c r="O291" i="20"/>
  <c r="P23" i="20"/>
  <c r="M13" i="20"/>
  <c r="P13" i="20" s="1"/>
  <c r="P25" i="20"/>
  <c r="M15" i="20"/>
  <c r="P15" i="20" s="1"/>
  <c r="O221" i="20"/>
  <c r="P330" i="20"/>
  <c r="M43" i="19"/>
  <c r="M337" i="19"/>
  <c r="M14" i="20"/>
  <c r="P14" i="20" s="1"/>
  <c r="M41" i="20"/>
  <c r="L45" i="20"/>
  <c r="P95" i="20"/>
  <c r="M94" i="20"/>
  <c r="P94" i="20" s="1"/>
  <c r="K132" i="20"/>
  <c r="P144" i="20"/>
  <c r="I367" i="19"/>
  <c r="K367" i="19" s="1"/>
  <c r="P21" i="20"/>
  <c r="M11" i="20"/>
  <c r="O61" i="20"/>
  <c r="O67" i="20"/>
  <c r="O437" i="20"/>
  <c r="L32" i="20"/>
  <c r="L33" i="21"/>
  <c r="O33" i="21" s="1"/>
  <c r="O536" i="21"/>
  <c r="M222" i="19"/>
  <c r="K625" i="19"/>
  <c r="K621" i="19"/>
  <c r="K623" i="19"/>
  <c r="K630" i="19"/>
  <c r="O42" i="20"/>
  <c r="N43" i="20"/>
  <c r="P43" i="20" s="1"/>
  <c r="P57" i="20"/>
  <c r="M55" i="20"/>
  <c r="M22" i="20"/>
  <c r="K82" i="20"/>
  <c r="N142" i="20"/>
  <c r="N34" i="20"/>
  <c r="O385" i="20"/>
  <c r="K626" i="19"/>
  <c r="M19" i="20"/>
  <c r="M30" i="20"/>
  <c r="L33" i="20"/>
  <c r="O33" i="20" s="1"/>
  <c r="M118" i="19"/>
  <c r="P118" i="19" s="1"/>
  <c r="K620" i="19"/>
  <c r="K634" i="19"/>
  <c r="L23" i="20"/>
  <c r="P54" i="20"/>
  <c r="K455" i="20"/>
  <c r="M68" i="20"/>
  <c r="K80" i="20"/>
  <c r="O119" i="20"/>
  <c r="P141" i="20"/>
  <c r="M140" i="20"/>
  <c r="P254" i="20"/>
  <c r="N252" i="20"/>
  <c r="K267" i="20"/>
  <c r="O352" i="20"/>
  <c r="K376" i="20"/>
  <c r="K397" i="20"/>
  <c r="K417" i="20"/>
  <c r="K431" i="20"/>
  <c r="O19" i="21"/>
  <c r="N15" i="21"/>
  <c r="N19" i="21"/>
  <c r="O102" i="21"/>
  <c r="M102" i="21"/>
  <c r="P102" i="21" s="1"/>
  <c r="P254" i="21"/>
  <c r="M252" i="21"/>
  <c r="K615" i="19"/>
  <c r="M250" i="20"/>
  <c r="K618" i="20"/>
  <c r="K615" i="20"/>
  <c r="K612" i="20"/>
  <c r="K617" i="20"/>
  <c r="K616" i="20"/>
  <c r="K613" i="19"/>
  <c r="O537" i="20"/>
  <c r="K611" i="20"/>
  <c r="K614" i="20"/>
  <c r="L34" i="21"/>
  <c r="N55" i="21"/>
  <c r="P55" i="21" s="1"/>
  <c r="P57" i="21"/>
  <c r="N22" i="21"/>
  <c r="P275" i="21"/>
  <c r="N273" i="21"/>
  <c r="N271" i="21" s="1"/>
  <c r="I367" i="21"/>
  <c r="K367" i="21" s="1"/>
  <c r="K371" i="21"/>
  <c r="O439" i="21"/>
  <c r="O568" i="21"/>
  <c r="O584" i="21"/>
  <c r="O599" i="21"/>
  <c r="K618" i="21"/>
  <c r="K615" i="21"/>
  <c r="K612" i="21"/>
  <c r="K617" i="21"/>
  <c r="K614" i="21"/>
  <c r="K619" i="21"/>
  <c r="K611" i="21"/>
  <c r="K616" i="21"/>
  <c r="P98" i="21"/>
  <c r="P221" i="21"/>
  <c r="M220" i="21"/>
  <c r="M29" i="21"/>
  <c r="N96" i="21"/>
  <c r="N94" i="21" s="1"/>
  <c r="M222" i="20"/>
  <c r="M9" i="21"/>
  <c r="P11" i="21"/>
  <c r="O25" i="21"/>
  <c r="L15" i="21"/>
  <c r="O15" i="21" s="1"/>
  <c r="L23" i="21"/>
  <c r="L45" i="21"/>
  <c r="P144" i="21"/>
  <c r="M142" i="21"/>
  <c r="L224" i="21"/>
  <c r="L24" i="21"/>
  <c r="O330" i="21"/>
  <c r="M310" i="20"/>
  <c r="P310" i="20" s="1"/>
  <c r="K626" i="20"/>
  <c r="K623" i="20"/>
  <c r="K620" i="20"/>
  <c r="K625" i="20"/>
  <c r="K624" i="20"/>
  <c r="N26" i="21"/>
  <c r="N16" i="21" s="1"/>
  <c r="N68" i="21"/>
  <c r="N66" i="21" s="1"/>
  <c r="K499" i="21"/>
  <c r="M118" i="21"/>
  <c r="P118" i="21" s="1"/>
  <c r="M271" i="21"/>
  <c r="K624" i="21"/>
  <c r="K622" i="21"/>
  <c r="L26" i="21"/>
  <c r="M49" i="21"/>
  <c r="M43" i="21" s="1"/>
  <c r="K620" i="21"/>
  <c r="M329" i="21"/>
  <c r="M14" i="21"/>
  <c r="P14" i="21" s="1"/>
  <c r="M290" i="21"/>
  <c r="P290" i="21" s="1"/>
  <c r="O566" i="1" l="1"/>
  <c r="K84" i="1"/>
  <c r="K81" i="1"/>
  <c r="L55" i="7"/>
  <c r="K633" i="1"/>
  <c r="K629" i="1"/>
  <c r="L331" i="7"/>
  <c r="L329" i="7" s="1"/>
  <c r="O329" i="7" s="1"/>
  <c r="O333" i="14"/>
  <c r="O439" i="1"/>
  <c r="L120" i="21"/>
  <c r="O120" i="21" s="1"/>
  <c r="K417" i="1"/>
  <c r="O30" i="5"/>
  <c r="K186" i="1"/>
  <c r="K108" i="1"/>
  <c r="L96" i="19"/>
  <c r="O96" i="19" s="1"/>
  <c r="O144" i="16"/>
  <c r="L273" i="16"/>
  <c r="L271" i="16" s="1"/>
  <c r="O271" i="16" s="1"/>
  <c r="K350" i="1"/>
  <c r="M331" i="2"/>
  <c r="M329" i="2" s="1"/>
  <c r="L252" i="7"/>
  <c r="O252" i="7" s="1"/>
  <c r="K328" i="1"/>
  <c r="K138" i="1"/>
  <c r="O599" i="1"/>
  <c r="K82" i="1"/>
  <c r="K264" i="1"/>
  <c r="O43" i="12"/>
  <c r="K497" i="1"/>
  <c r="L55" i="5"/>
  <c r="L53" i="5" s="1"/>
  <c r="O53" i="5" s="1"/>
  <c r="O98" i="21"/>
  <c r="P43" i="5"/>
  <c r="L55" i="9"/>
  <c r="O55" i="9" s="1"/>
  <c r="O45" i="12"/>
  <c r="L41" i="12"/>
  <c r="O41" i="12" s="1"/>
  <c r="L222" i="7"/>
  <c r="O222" i="7" s="1"/>
  <c r="P222" i="6"/>
  <c r="M118" i="5"/>
  <c r="P118" i="5" s="1"/>
  <c r="N11" i="2"/>
  <c r="N9" i="2" s="1"/>
  <c r="O98" i="3"/>
  <c r="L252" i="4"/>
  <c r="O252" i="4" s="1"/>
  <c r="K213" i="1"/>
  <c r="O333" i="6"/>
  <c r="L273" i="18"/>
  <c r="O273" i="18" s="1"/>
  <c r="O30" i="11"/>
  <c r="L43" i="9"/>
  <c r="L41" i="9" s="1"/>
  <c r="L96" i="8"/>
  <c r="O96" i="8" s="1"/>
  <c r="K580" i="1"/>
  <c r="K551" i="1"/>
  <c r="O354" i="1"/>
  <c r="K465" i="1"/>
  <c r="K341" i="1"/>
  <c r="K628" i="1"/>
  <c r="N28" i="2"/>
  <c r="K132" i="1"/>
  <c r="K449" i="1"/>
  <c r="K564" i="1"/>
  <c r="K431" i="1"/>
  <c r="K396" i="1"/>
  <c r="O98" i="7"/>
  <c r="L68" i="3"/>
  <c r="O68" i="3" s="1"/>
  <c r="K450" i="1"/>
  <c r="O254" i="6"/>
  <c r="L331" i="15"/>
  <c r="O331" i="15" s="1"/>
  <c r="M118" i="7"/>
  <c r="P118" i="7" s="1"/>
  <c r="L14" i="15"/>
  <c r="O14" i="15" s="1"/>
  <c r="P142" i="12"/>
  <c r="K345" i="1"/>
  <c r="K109" i="1"/>
  <c r="K466" i="1"/>
  <c r="P331" i="8"/>
  <c r="L252" i="10"/>
  <c r="O252" i="10" s="1"/>
  <c r="P220" i="3"/>
  <c r="K430" i="1"/>
  <c r="K133" i="1"/>
  <c r="K560" i="1"/>
  <c r="K110" i="1"/>
  <c r="L68" i="4"/>
  <c r="O68" i="4" s="1"/>
  <c r="L55" i="21"/>
  <c r="L53" i="21" s="1"/>
  <c r="P329" i="8"/>
  <c r="K377" i="1"/>
  <c r="O404" i="1"/>
  <c r="K111" i="1"/>
  <c r="K398" i="1"/>
  <c r="O254" i="2"/>
  <c r="L292" i="4"/>
  <c r="O292" i="4" s="1"/>
  <c r="O580" i="1"/>
  <c r="K474" i="1"/>
  <c r="K423" i="1"/>
  <c r="K416" i="1"/>
  <c r="O385" i="1"/>
  <c r="L96" i="11"/>
  <c r="O96" i="11" s="1"/>
  <c r="O57" i="6"/>
  <c r="P55" i="14"/>
  <c r="L252" i="18"/>
  <c r="O252" i="18" s="1"/>
  <c r="K216" i="1"/>
  <c r="P312" i="17"/>
  <c r="M118" i="9"/>
  <c r="P118" i="9" s="1"/>
  <c r="N28" i="15"/>
  <c r="P273" i="8"/>
  <c r="L43" i="7"/>
  <c r="L41" i="7" s="1"/>
  <c r="O41" i="7" s="1"/>
  <c r="N11" i="15"/>
  <c r="N9" i="15" s="1"/>
  <c r="K429" i="1"/>
  <c r="O333" i="3"/>
  <c r="K176" i="1"/>
  <c r="M66" i="21"/>
  <c r="P66" i="21" s="1"/>
  <c r="O30" i="10"/>
  <c r="N11" i="4"/>
  <c r="N9" i="4" s="1"/>
  <c r="N28" i="4"/>
  <c r="L331" i="5"/>
  <c r="L329" i="5" s="1"/>
  <c r="O329" i="5" s="1"/>
  <c r="M310" i="11"/>
  <c r="P310" i="11" s="1"/>
  <c r="O122" i="2"/>
  <c r="M310" i="19"/>
  <c r="P310" i="19" s="1"/>
  <c r="O457" i="1"/>
  <c r="M310" i="15"/>
  <c r="P310" i="15" s="1"/>
  <c r="P142" i="19"/>
  <c r="O41" i="2"/>
  <c r="K593" i="1"/>
  <c r="O144" i="8"/>
  <c r="O224" i="12"/>
  <c r="L120" i="4"/>
  <c r="L118" i="4" s="1"/>
  <c r="O118" i="4" s="1"/>
  <c r="O331" i="21"/>
  <c r="P312" i="18"/>
  <c r="K215" i="1"/>
  <c r="K420" i="1"/>
  <c r="K533" i="1"/>
  <c r="K624" i="1"/>
  <c r="M43" i="7"/>
  <c r="P43" i="7" s="1"/>
  <c r="O292" i="15"/>
  <c r="L273" i="11"/>
  <c r="L271" i="11" s="1"/>
  <c r="O271" i="11" s="1"/>
  <c r="P68" i="18"/>
  <c r="O294" i="15"/>
  <c r="L331" i="12"/>
  <c r="L329" i="12" s="1"/>
  <c r="O329" i="12" s="1"/>
  <c r="L252" i="20"/>
  <c r="L250" i="20" s="1"/>
  <c r="P333" i="1"/>
  <c r="K372" i="1"/>
  <c r="K432" i="1"/>
  <c r="L292" i="7"/>
  <c r="O292" i="7" s="1"/>
  <c r="L43" i="3"/>
  <c r="O43" i="3" s="1"/>
  <c r="N28" i="10"/>
  <c r="O57" i="13"/>
  <c r="L292" i="13"/>
  <c r="O292" i="13" s="1"/>
  <c r="O333" i="21"/>
  <c r="K547" i="1"/>
  <c r="M290" i="15"/>
  <c r="P290" i="15" s="1"/>
  <c r="M26" i="7"/>
  <c r="M20" i="7" s="1"/>
  <c r="M18" i="7" s="1"/>
  <c r="N220" i="5"/>
  <c r="P220" i="5" s="1"/>
  <c r="P292" i="6"/>
  <c r="O555" i="1"/>
  <c r="L252" i="21"/>
  <c r="O252" i="21" s="1"/>
  <c r="O314" i="17"/>
  <c r="O254" i="11"/>
  <c r="K164" i="1"/>
  <c r="K173" i="1"/>
  <c r="K112" i="1"/>
  <c r="O380" i="1"/>
  <c r="K428" i="1"/>
  <c r="K117" i="1"/>
  <c r="K418" i="1"/>
  <c r="K419" i="1"/>
  <c r="K473" i="1"/>
  <c r="N28" i="21"/>
  <c r="P292" i="4"/>
  <c r="P55" i="4"/>
  <c r="O312" i="13"/>
  <c r="K451" i="1"/>
  <c r="P220" i="15"/>
  <c r="L120" i="12"/>
  <c r="O120" i="12" s="1"/>
  <c r="N11" i="21"/>
  <c r="N9" i="21" s="1"/>
  <c r="P96" i="14"/>
  <c r="L331" i="13"/>
  <c r="O331" i="13" s="1"/>
  <c r="N220" i="21"/>
  <c r="P220" i="21" s="1"/>
  <c r="O254" i="17"/>
  <c r="L292" i="3"/>
  <c r="O292" i="3" s="1"/>
  <c r="L120" i="18"/>
  <c r="O120" i="18" s="1"/>
  <c r="O45" i="8"/>
  <c r="N28" i="19"/>
  <c r="P43" i="11"/>
  <c r="O34" i="12"/>
  <c r="M250" i="12"/>
  <c r="P250" i="12" s="1"/>
  <c r="K285" i="1"/>
  <c r="N28" i="18"/>
  <c r="P140" i="19"/>
  <c r="O314" i="13"/>
  <c r="N220" i="18"/>
  <c r="P220" i="18" s="1"/>
  <c r="K597" i="1"/>
  <c r="L273" i="8"/>
  <c r="O273" i="8" s="1"/>
  <c r="N11" i="7"/>
  <c r="N9" i="7" s="1"/>
  <c r="L11" i="6"/>
  <c r="L9" i="6" s="1"/>
  <c r="O314" i="3"/>
  <c r="K158" i="1"/>
  <c r="O275" i="2"/>
  <c r="P273" i="16"/>
  <c r="M96" i="7"/>
  <c r="M94" i="7" s="1"/>
  <c r="P94" i="7" s="1"/>
  <c r="K426" i="1"/>
  <c r="K634" i="1"/>
  <c r="K229" i="1"/>
  <c r="O144" i="9"/>
  <c r="N11" i="19"/>
  <c r="N9" i="19" s="1"/>
  <c r="L55" i="3"/>
  <c r="L53" i="3" s="1"/>
  <c r="O53" i="3" s="1"/>
  <c r="L273" i="5"/>
  <c r="O273" i="5" s="1"/>
  <c r="P68" i="14"/>
  <c r="N28" i="7"/>
  <c r="K235" i="1"/>
  <c r="O537" i="1"/>
  <c r="O564" i="1"/>
  <c r="L142" i="15"/>
  <c r="O142" i="15" s="1"/>
  <c r="M290" i="11"/>
  <c r="P290" i="11" s="1"/>
  <c r="L142" i="5"/>
  <c r="L140" i="5" s="1"/>
  <c r="O140" i="5" s="1"/>
  <c r="P222" i="14"/>
  <c r="K189" i="1"/>
  <c r="O57" i="18"/>
  <c r="P220" i="14"/>
  <c r="O275" i="13"/>
  <c r="L55" i="11"/>
  <c r="L53" i="11" s="1"/>
  <c r="O53" i="11" s="1"/>
  <c r="P292" i="7"/>
  <c r="P273" i="4"/>
  <c r="P45" i="1"/>
  <c r="P144" i="1"/>
  <c r="K304" i="1"/>
  <c r="K289" i="1"/>
  <c r="K498" i="1"/>
  <c r="K421" i="1"/>
  <c r="L222" i="20"/>
  <c r="L220" i="20" s="1"/>
  <c r="O220" i="20" s="1"/>
  <c r="P68" i="9"/>
  <c r="P140" i="6"/>
  <c r="O98" i="4"/>
  <c r="O70" i="11"/>
  <c r="O455" i="1"/>
  <c r="P43" i="18"/>
  <c r="P252" i="14"/>
  <c r="P142" i="6"/>
  <c r="L94" i="4"/>
  <c r="O94" i="4" s="1"/>
  <c r="L120" i="16"/>
  <c r="L118" i="16" s="1"/>
  <c r="O118" i="16" s="1"/>
  <c r="O30" i="6"/>
  <c r="K376" i="1"/>
  <c r="K249" i="1"/>
  <c r="O55" i="2"/>
  <c r="K482" i="1"/>
  <c r="O582" i="1"/>
  <c r="K425" i="1"/>
  <c r="O250" i="6"/>
  <c r="L292" i="19"/>
  <c r="O292" i="19" s="1"/>
  <c r="L292" i="10"/>
  <c r="O292" i="10" s="1"/>
  <c r="L312" i="19"/>
  <c r="O312" i="19" s="1"/>
  <c r="L292" i="6"/>
  <c r="O292" i="6" s="1"/>
  <c r="O34" i="15"/>
  <c r="L292" i="18"/>
  <c r="P273" i="9"/>
  <c r="O314" i="21"/>
  <c r="P55" i="20"/>
  <c r="P222" i="19"/>
  <c r="L222" i="16"/>
  <c r="L220" i="16" s="1"/>
  <c r="P120" i="4"/>
  <c r="O459" i="1"/>
  <c r="L96" i="20"/>
  <c r="O96" i="20" s="1"/>
  <c r="L55" i="8"/>
  <c r="L53" i="8" s="1"/>
  <c r="O53" i="8" s="1"/>
  <c r="L68" i="13"/>
  <c r="O68" i="13" s="1"/>
  <c r="O314" i="14"/>
  <c r="K267" i="1"/>
  <c r="L310" i="21"/>
  <c r="O310" i="21" s="1"/>
  <c r="P118" i="17"/>
  <c r="O275" i="6"/>
  <c r="P68" i="17"/>
  <c r="P122" i="1"/>
  <c r="O31" i="6"/>
  <c r="L252" i="9"/>
  <c r="K455" i="1"/>
  <c r="K499" i="1"/>
  <c r="O352" i="1"/>
  <c r="K422" i="1"/>
  <c r="K85" i="1"/>
  <c r="K266" i="1"/>
  <c r="K402" i="1"/>
  <c r="O435" i="1"/>
  <c r="K630" i="1"/>
  <c r="K80" i="1"/>
  <c r="O533" i="1"/>
  <c r="O406" i="1"/>
  <c r="O553" i="1"/>
  <c r="O57" i="2"/>
  <c r="K306" i="1"/>
  <c r="K113" i="1"/>
  <c r="P294" i="1"/>
  <c r="O597" i="1"/>
  <c r="O349" i="1"/>
  <c r="P70" i="1"/>
  <c r="K375" i="1"/>
  <c r="K427" i="1"/>
  <c r="P22" i="17"/>
  <c r="P329" i="7"/>
  <c r="O70" i="6"/>
  <c r="M66" i="4"/>
  <c r="P66" i="4" s="1"/>
  <c r="P331" i="7"/>
  <c r="K595" i="1"/>
  <c r="O401" i="1"/>
  <c r="P43" i="9"/>
  <c r="L312" i="4"/>
  <c r="L310" i="4" s="1"/>
  <c r="O310" i="4" s="1"/>
  <c r="O314" i="2"/>
  <c r="M20" i="2"/>
  <c r="M18" i="2" s="1"/>
  <c r="K401" i="1"/>
  <c r="O142" i="8"/>
  <c r="O568" i="1"/>
  <c r="N43" i="1"/>
  <c r="N41" i="1" s="1"/>
  <c r="K219" i="1"/>
  <c r="K368" i="1"/>
  <c r="K65" i="1"/>
  <c r="K309" i="1"/>
  <c r="K149" i="1"/>
  <c r="K340" i="1"/>
  <c r="K370" i="1"/>
  <c r="L142" i="21"/>
  <c r="O142" i="21" s="1"/>
  <c r="P222" i="8"/>
  <c r="M310" i="5"/>
  <c r="P310" i="5" s="1"/>
  <c r="O96" i="10"/>
  <c r="L11" i="12"/>
  <c r="O11" i="12" s="1"/>
  <c r="O254" i="12"/>
  <c r="O601" i="1"/>
  <c r="L312" i="16"/>
  <c r="O312" i="16" s="1"/>
  <c r="L292" i="11"/>
  <c r="L290" i="11" s="1"/>
  <c r="O290" i="11" s="1"/>
  <c r="O329" i="14"/>
  <c r="K201" i="1"/>
  <c r="O31" i="12"/>
  <c r="L312" i="9"/>
  <c r="O312" i="9" s="1"/>
  <c r="O34" i="2"/>
  <c r="N28" i="6"/>
  <c r="P329" i="13"/>
  <c r="O102" i="1"/>
  <c r="P331" i="13"/>
  <c r="K200" i="1"/>
  <c r="L292" i="14"/>
  <c r="L290" i="14" s="1"/>
  <c r="O290" i="14" s="1"/>
  <c r="O68" i="6"/>
  <c r="L222" i="14"/>
  <c r="K481" i="1"/>
  <c r="O144" i="20"/>
  <c r="K93" i="1"/>
  <c r="K631" i="1"/>
  <c r="O337" i="1"/>
  <c r="L11" i="5"/>
  <c r="O11" i="5" s="1"/>
  <c r="M96" i="3"/>
  <c r="P96" i="3" s="1"/>
  <c r="L28" i="5"/>
  <c r="P337" i="2"/>
  <c r="N290" i="2"/>
  <c r="P290" i="2" s="1"/>
  <c r="K86" i="1"/>
  <c r="K464" i="1"/>
  <c r="K573" i="1"/>
  <c r="K199" i="1"/>
  <c r="K185" i="1"/>
  <c r="K380" i="1"/>
  <c r="K343" i="1"/>
  <c r="O437" i="1"/>
  <c r="K589" i="1"/>
  <c r="K349" i="1"/>
  <c r="L68" i="21"/>
  <c r="O68" i="21" s="1"/>
  <c r="N11" i="14"/>
  <c r="N9" i="14" s="1"/>
  <c r="O45" i="2"/>
  <c r="O275" i="3"/>
  <c r="L68" i="12"/>
  <c r="L66" i="12" s="1"/>
  <c r="O66" i="12" s="1"/>
  <c r="O31" i="5"/>
  <c r="O329" i="8"/>
  <c r="O49" i="1"/>
  <c r="P220" i="13"/>
  <c r="L252" i="19"/>
  <c r="O252" i="19" s="1"/>
  <c r="M290" i="18"/>
  <c r="P290" i="18" s="1"/>
  <c r="L43" i="15"/>
  <c r="O43" i="15" s="1"/>
  <c r="M271" i="5"/>
  <c r="P271" i="5" s="1"/>
  <c r="P331" i="5"/>
  <c r="O43" i="14"/>
  <c r="O254" i="16"/>
  <c r="N34" i="1"/>
  <c r="N14" i="1" s="1"/>
  <c r="P252" i="8"/>
  <c r="P275" i="1"/>
  <c r="P98" i="1"/>
  <c r="O252" i="17"/>
  <c r="K88" i="1"/>
  <c r="O271" i="21"/>
  <c r="O70" i="5"/>
  <c r="L252" i="13"/>
  <c r="O252" i="13" s="1"/>
  <c r="O347" i="1"/>
  <c r="P43" i="14"/>
  <c r="L142" i="11"/>
  <c r="O142" i="11" s="1"/>
  <c r="O53" i="12"/>
  <c r="M250" i="4"/>
  <c r="P250" i="4" s="1"/>
  <c r="L292" i="5"/>
  <c r="O292" i="5" s="1"/>
  <c r="L331" i="4"/>
  <c r="O331" i="4" s="1"/>
  <c r="N11" i="6"/>
  <c r="N9" i="6" s="1"/>
  <c r="O57" i="12"/>
  <c r="O45" i="14"/>
  <c r="M66" i="17"/>
  <c r="P66" i="17" s="1"/>
  <c r="L55" i="20"/>
  <c r="O55" i="20" s="1"/>
  <c r="L96" i="15"/>
  <c r="O96" i="15" s="1"/>
  <c r="M310" i="12"/>
  <c r="P310" i="12" s="1"/>
  <c r="O31" i="7"/>
  <c r="L273" i="7"/>
  <c r="O273" i="7" s="1"/>
  <c r="L96" i="6"/>
  <c r="L94" i="6" s="1"/>
  <c r="O94" i="6" s="1"/>
  <c r="P312" i="4"/>
  <c r="O32" i="3"/>
  <c r="O254" i="3"/>
  <c r="O120" i="20"/>
  <c r="N33" i="1"/>
  <c r="N13" i="1" s="1"/>
  <c r="K204" i="1"/>
  <c r="P53" i="12"/>
  <c r="O333" i="8"/>
  <c r="K617" i="1"/>
  <c r="L14" i="6"/>
  <c r="O14" i="6" s="1"/>
  <c r="L68" i="2"/>
  <c r="L66" i="2" s="1"/>
  <c r="K92" i="1"/>
  <c r="L11" i="7"/>
  <c r="L9" i="7" s="1"/>
  <c r="L252" i="5"/>
  <c r="O252" i="5" s="1"/>
  <c r="P312" i="2"/>
  <c r="N11" i="10"/>
  <c r="N9" i="10" s="1"/>
  <c r="K435" i="1"/>
  <c r="O294" i="12"/>
  <c r="O275" i="21"/>
  <c r="M96" i="21"/>
  <c r="P96" i="21" s="1"/>
  <c r="P292" i="20"/>
  <c r="O275" i="17"/>
  <c r="O34" i="21"/>
  <c r="L271" i="17"/>
  <c r="O271" i="17" s="1"/>
  <c r="O294" i="8"/>
  <c r="N31" i="1"/>
  <c r="N29" i="1" s="1"/>
  <c r="L43" i="10"/>
  <c r="L41" i="10" s="1"/>
  <c r="O41" i="10" s="1"/>
  <c r="L142" i="17"/>
  <c r="O142" i="17" s="1"/>
  <c r="P66" i="14"/>
  <c r="K611" i="1"/>
  <c r="O98" i="2"/>
  <c r="L142" i="18"/>
  <c r="O142" i="18" s="1"/>
  <c r="P102" i="9"/>
  <c r="K618" i="1"/>
  <c r="K612" i="1"/>
  <c r="M140" i="12"/>
  <c r="P140" i="12" s="1"/>
  <c r="P222" i="3"/>
  <c r="P43" i="4"/>
  <c r="L43" i="19"/>
  <c r="L41" i="19" s="1"/>
  <c r="N12" i="4"/>
  <c r="N10" i="4" s="1"/>
  <c r="L55" i="4"/>
  <c r="O55" i="4" s="1"/>
  <c r="L222" i="3"/>
  <c r="O222" i="3" s="1"/>
  <c r="K614" i="1"/>
  <c r="L222" i="19"/>
  <c r="O222" i="19" s="1"/>
  <c r="O26" i="20"/>
  <c r="P120" i="16"/>
  <c r="L14" i="14"/>
  <c r="O14" i="14" s="1"/>
  <c r="P66" i="5"/>
  <c r="O26" i="3"/>
  <c r="K616" i="1"/>
  <c r="O43" i="2"/>
  <c r="O584" i="1"/>
  <c r="M68" i="3"/>
  <c r="M66" i="3" s="1"/>
  <c r="P66" i="3" s="1"/>
  <c r="P22" i="12"/>
  <c r="P22" i="14"/>
  <c r="P55" i="3"/>
  <c r="O34" i="20"/>
  <c r="L14" i="20"/>
  <c r="N11" i="17"/>
  <c r="N9" i="17" s="1"/>
  <c r="N11" i="18"/>
  <c r="N9" i="18" s="1"/>
  <c r="P55" i="11"/>
  <c r="L120" i="6"/>
  <c r="L118" i="6" s="1"/>
  <c r="O118" i="6" s="1"/>
  <c r="L96" i="5"/>
  <c r="O96" i="5" s="1"/>
  <c r="O16" i="3"/>
  <c r="P43" i="2"/>
  <c r="L290" i="8"/>
  <c r="O290" i="8" s="1"/>
  <c r="O292" i="8"/>
  <c r="N20" i="20"/>
  <c r="N18" i="20" s="1"/>
  <c r="O24" i="15"/>
  <c r="M12" i="14"/>
  <c r="L331" i="2"/>
  <c r="L329" i="2" s="1"/>
  <c r="P57" i="1"/>
  <c r="O98" i="16"/>
  <c r="O122" i="17"/>
  <c r="L250" i="12"/>
  <c r="O250" i="12" s="1"/>
  <c r="L24" i="1"/>
  <c r="O24" i="1" s="1"/>
  <c r="P74" i="1"/>
  <c r="M290" i="5"/>
  <c r="P290" i="5" s="1"/>
  <c r="L273" i="9"/>
  <c r="M96" i="9"/>
  <c r="M94" i="9" s="1"/>
  <c r="P94" i="9" s="1"/>
  <c r="O32" i="7"/>
  <c r="O551" i="1"/>
  <c r="O96" i="3"/>
  <c r="L68" i="14"/>
  <c r="L66" i="14" s="1"/>
  <c r="O66" i="14" s="1"/>
  <c r="L222" i="17"/>
  <c r="O222" i="17" s="1"/>
  <c r="P142" i="14"/>
  <c r="O331" i="14"/>
  <c r="L13" i="6"/>
  <c r="O13" i="6" s="1"/>
  <c r="N11" i="3"/>
  <c r="N9" i="3" s="1"/>
  <c r="M94" i="12"/>
  <c r="P94" i="12" s="1"/>
  <c r="O142" i="2"/>
  <c r="L140" i="2"/>
  <c r="O140" i="2" s="1"/>
  <c r="N11" i="20"/>
  <c r="N9" i="20" s="1"/>
  <c r="L43" i="18"/>
  <c r="O43" i="18" s="1"/>
  <c r="L14" i="7"/>
  <c r="O14" i="7" s="1"/>
  <c r="M43" i="15"/>
  <c r="M41" i="15" s="1"/>
  <c r="P66" i="12"/>
  <c r="P41" i="8"/>
  <c r="O252" i="6"/>
  <c r="O144" i="2"/>
  <c r="O57" i="19"/>
  <c r="O66" i="11"/>
  <c r="M310" i="7"/>
  <c r="P310" i="7" s="1"/>
  <c r="L292" i="2"/>
  <c r="O292" i="2" s="1"/>
  <c r="O30" i="18"/>
  <c r="K270" i="1"/>
  <c r="L55" i="16"/>
  <c r="O55" i="16" s="1"/>
  <c r="P252" i="6"/>
  <c r="L312" i="18"/>
  <c r="O312" i="18" s="1"/>
  <c r="P142" i="9"/>
  <c r="P68" i="12"/>
  <c r="O122" i="19"/>
  <c r="O32" i="18"/>
  <c r="O31" i="16"/>
  <c r="M26" i="15"/>
  <c r="P26" i="15" s="1"/>
  <c r="M66" i="7"/>
  <c r="P66" i="7" s="1"/>
  <c r="P254" i="1"/>
  <c r="P43" i="3"/>
  <c r="N28" i="20"/>
  <c r="N28" i="3"/>
  <c r="P314" i="1"/>
  <c r="O98" i="10"/>
  <c r="L250" i="17"/>
  <c r="O250" i="17" s="1"/>
  <c r="M250" i="9"/>
  <c r="P250" i="9" s="1"/>
  <c r="L252" i="8"/>
  <c r="O252" i="8" s="1"/>
  <c r="N11" i="9"/>
  <c r="N9" i="9" s="1"/>
  <c r="O314" i="7"/>
  <c r="P22" i="2"/>
  <c r="O273" i="21"/>
  <c r="L331" i="17"/>
  <c r="O331" i="17" s="1"/>
  <c r="L11" i="16"/>
  <c r="O11" i="16" s="1"/>
  <c r="P331" i="15"/>
  <c r="L273" i="14"/>
  <c r="L271" i="14" s="1"/>
  <c r="M290" i="12"/>
  <c r="P290" i="12" s="1"/>
  <c r="P140" i="9"/>
  <c r="N28" i="11"/>
  <c r="L250" i="11"/>
  <c r="O250" i="11" s="1"/>
  <c r="O34" i="8"/>
  <c r="M271" i="7"/>
  <c r="P271" i="7" s="1"/>
  <c r="L13" i="2"/>
  <c r="O13" i="2" s="1"/>
  <c r="K622" i="1"/>
  <c r="P68" i="8"/>
  <c r="P271" i="19"/>
  <c r="K620" i="1"/>
  <c r="L13" i="14"/>
  <c r="O13" i="14" s="1"/>
  <c r="P329" i="15"/>
  <c r="P222" i="10"/>
  <c r="N28" i="9"/>
  <c r="K625" i="1"/>
  <c r="O222" i="10"/>
  <c r="L312" i="6"/>
  <c r="L310" i="6" s="1"/>
  <c r="O310" i="6" s="1"/>
  <c r="O74" i="1"/>
  <c r="N12" i="7"/>
  <c r="N10" i="7" s="1"/>
  <c r="K613" i="1"/>
  <c r="O34" i="6"/>
  <c r="L120" i="14"/>
  <c r="M118" i="12"/>
  <c r="P118" i="12" s="1"/>
  <c r="N11" i="12"/>
  <c r="N9" i="12" s="1"/>
  <c r="L68" i="9"/>
  <c r="L66" i="9" s="1"/>
  <c r="O66" i="9" s="1"/>
  <c r="P273" i="3"/>
  <c r="K626" i="1"/>
  <c r="L34" i="1"/>
  <c r="N29" i="8"/>
  <c r="N28" i="8" s="1"/>
  <c r="K623" i="1"/>
  <c r="P140" i="3"/>
  <c r="K575" i="1"/>
  <c r="K397" i="1"/>
  <c r="P331" i="18"/>
  <c r="N28" i="17"/>
  <c r="O140" i="9"/>
  <c r="K621" i="1"/>
  <c r="N32" i="1"/>
  <c r="N30" i="1" s="1"/>
  <c r="N53" i="21"/>
  <c r="K87" i="1"/>
  <c r="K424" i="1"/>
  <c r="O30" i="7"/>
  <c r="L28" i="7"/>
  <c r="O252" i="3"/>
  <c r="L250" i="3"/>
  <c r="O250" i="3" s="1"/>
  <c r="M271" i="17"/>
  <c r="P271" i="17" s="1"/>
  <c r="M250" i="16"/>
  <c r="P250" i="16" s="1"/>
  <c r="M271" i="16"/>
  <c r="P271" i="16" s="1"/>
  <c r="P43" i="16"/>
  <c r="L14" i="16"/>
  <c r="O14" i="16" s="1"/>
  <c r="N12" i="14"/>
  <c r="P22" i="15"/>
  <c r="M118" i="13"/>
  <c r="P118" i="13" s="1"/>
  <c r="N20" i="12"/>
  <c r="N18" i="12" s="1"/>
  <c r="N28" i="12"/>
  <c r="P74" i="3"/>
  <c r="P222" i="13"/>
  <c r="L22" i="7"/>
  <c r="L20" i="7" s="1"/>
  <c r="O383" i="1"/>
  <c r="M53" i="4"/>
  <c r="P53" i="4" s="1"/>
  <c r="N220" i="17"/>
  <c r="P220" i="17" s="1"/>
  <c r="P331" i="21"/>
  <c r="N12" i="20"/>
  <c r="N10" i="20" s="1"/>
  <c r="L96" i="18"/>
  <c r="O96" i="18" s="1"/>
  <c r="L22" i="17"/>
  <c r="O22" i="17" s="1"/>
  <c r="O331" i="6"/>
  <c r="M290" i="3"/>
  <c r="P290" i="3" s="1"/>
  <c r="P142" i="3"/>
  <c r="L23" i="1"/>
  <c r="O23" i="1" s="1"/>
  <c r="L142" i="7"/>
  <c r="L140" i="7" s="1"/>
  <c r="K381" i="1"/>
  <c r="O94" i="17"/>
  <c r="O142" i="9"/>
  <c r="O32" i="11"/>
  <c r="M26" i="10"/>
  <c r="M16" i="10" s="1"/>
  <c r="P16" i="10" s="1"/>
  <c r="L250" i="16"/>
  <c r="O250" i="16" s="1"/>
  <c r="L68" i="16"/>
  <c r="L66" i="16" s="1"/>
  <c r="O66" i="16" s="1"/>
  <c r="L96" i="14"/>
  <c r="N20" i="15"/>
  <c r="N18" i="15" s="1"/>
  <c r="L331" i="10"/>
  <c r="M331" i="10"/>
  <c r="P331" i="10" s="1"/>
  <c r="P271" i="9"/>
  <c r="L43" i="4"/>
  <c r="L41" i="4" s="1"/>
  <c r="N331" i="1"/>
  <c r="P222" i="4"/>
  <c r="O31" i="15"/>
  <c r="P55" i="12"/>
  <c r="O55" i="12"/>
  <c r="O66" i="5"/>
  <c r="O222" i="4"/>
  <c r="O32" i="21"/>
  <c r="L331" i="18"/>
  <c r="O331" i="18" s="1"/>
  <c r="L43" i="17"/>
  <c r="O43" i="17" s="1"/>
  <c r="L11" i="15"/>
  <c r="O11" i="15" s="1"/>
  <c r="M310" i="14"/>
  <c r="P310" i="14" s="1"/>
  <c r="P271" i="12"/>
  <c r="O314" i="12"/>
  <c r="L312" i="11"/>
  <c r="O312" i="11" s="1"/>
  <c r="M290" i="9"/>
  <c r="P290" i="9" s="1"/>
  <c r="O120" i="9"/>
  <c r="O122" i="9"/>
  <c r="P271" i="6"/>
  <c r="L120" i="7"/>
  <c r="O120" i="7" s="1"/>
  <c r="L292" i="9"/>
  <c r="L290" i="9" s="1"/>
  <c r="O290" i="9" s="1"/>
  <c r="L28" i="6"/>
  <c r="N22" i="1"/>
  <c r="O224" i="2"/>
  <c r="O34" i="18"/>
  <c r="L120" i="13"/>
  <c r="K265" i="1"/>
  <c r="K83" i="1"/>
  <c r="O224" i="9"/>
  <c r="L222" i="9"/>
  <c r="L220" i="9" s="1"/>
  <c r="O220" i="9" s="1"/>
  <c r="L331" i="20"/>
  <c r="L329" i="20" s="1"/>
  <c r="O329" i="20" s="1"/>
  <c r="P142" i="16"/>
  <c r="O16" i="15"/>
  <c r="L142" i="13"/>
  <c r="O142" i="13" s="1"/>
  <c r="P142" i="8"/>
  <c r="P273" i="6"/>
  <c r="P220" i="4"/>
  <c r="L22" i="4"/>
  <c r="L12" i="4" s="1"/>
  <c r="O122" i="20"/>
  <c r="L14" i="9"/>
  <c r="O34" i="7"/>
  <c r="K591" i="1"/>
  <c r="P140" i="16"/>
  <c r="P43" i="21"/>
  <c r="N329" i="21"/>
  <c r="P329" i="21" s="1"/>
  <c r="L118" i="19"/>
  <c r="O118" i="19" s="1"/>
  <c r="O26" i="15"/>
  <c r="N28" i="13"/>
  <c r="M310" i="10"/>
  <c r="P310" i="10" s="1"/>
  <c r="P53" i="8"/>
  <c r="O273" i="6"/>
  <c r="O32" i="6"/>
  <c r="L22" i="2"/>
  <c r="L12" i="2" s="1"/>
  <c r="O30" i="3"/>
  <c r="O31" i="2"/>
  <c r="K635" i="1"/>
  <c r="L11" i="2"/>
  <c r="O11" i="2" s="1"/>
  <c r="O273" i="19"/>
  <c r="L271" i="19"/>
  <c r="O271" i="19" s="1"/>
  <c r="O96" i="12"/>
  <c r="L94" i="12"/>
  <c r="O94" i="12" s="1"/>
  <c r="O275" i="20"/>
  <c r="O275" i="19"/>
  <c r="O271" i="13"/>
  <c r="L331" i="11"/>
  <c r="O331" i="11" s="1"/>
  <c r="O70" i="7"/>
  <c r="L220" i="4"/>
  <c r="O220" i="4" s="1"/>
  <c r="P273" i="19"/>
  <c r="L68" i="8"/>
  <c r="O273" i="13"/>
  <c r="L22" i="11"/>
  <c r="L20" i="11" s="1"/>
  <c r="L18" i="11" s="1"/>
  <c r="L96" i="9"/>
  <c r="O96" i="9" s="1"/>
  <c r="L312" i="8"/>
  <c r="L310" i="8" s="1"/>
  <c r="O310" i="8" s="1"/>
  <c r="P310" i="6"/>
  <c r="O30" i="2"/>
  <c r="N118" i="20"/>
  <c r="O118" i="20" s="1"/>
  <c r="L252" i="15"/>
  <c r="L250" i="15" s="1"/>
  <c r="O250" i="15" s="1"/>
  <c r="N12" i="15"/>
  <c r="M310" i="13"/>
  <c r="P310" i="13" s="1"/>
  <c r="M290" i="8"/>
  <c r="P290" i="8" s="1"/>
  <c r="P290" i="6"/>
  <c r="L13" i="7"/>
  <c r="O13" i="7" s="1"/>
  <c r="M66" i="2"/>
  <c r="P66" i="2" s="1"/>
  <c r="L314" i="1"/>
  <c r="O314" i="1" s="1"/>
  <c r="O32" i="2"/>
  <c r="O98" i="17"/>
  <c r="P273" i="13"/>
  <c r="P271" i="11"/>
  <c r="O98" i="12"/>
  <c r="L220" i="10"/>
  <c r="O220" i="10" s="1"/>
  <c r="O314" i="10"/>
  <c r="N292" i="1"/>
  <c r="O224" i="4"/>
  <c r="L142" i="3"/>
  <c r="O142" i="3" s="1"/>
  <c r="L98" i="1"/>
  <c r="O98" i="1" s="1"/>
  <c r="L312" i="20"/>
  <c r="L68" i="20"/>
  <c r="O68" i="20" s="1"/>
  <c r="L29" i="20"/>
  <c r="O294" i="16"/>
  <c r="M66" i="13"/>
  <c r="P66" i="13" s="1"/>
  <c r="L68" i="15"/>
  <c r="L96" i="13"/>
  <c r="L94" i="13" s="1"/>
  <c r="O94" i="13" s="1"/>
  <c r="L22" i="9"/>
  <c r="L20" i="9" s="1"/>
  <c r="L120" i="8"/>
  <c r="O120" i="8" s="1"/>
  <c r="P312" i="6"/>
  <c r="M290" i="19"/>
  <c r="P290" i="19" s="1"/>
  <c r="M94" i="18"/>
  <c r="P94" i="18" s="1"/>
  <c r="P68" i="15"/>
  <c r="O224" i="10"/>
  <c r="O32" i="10"/>
  <c r="L142" i="10"/>
  <c r="O142" i="10" s="1"/>
  <c r="L66" i="7"/>
  <c r="O66" i="7" s="1"/>
  <c r="L142" i="6"/>
  <c r="O142" i="6" s="1"/>
  <c r="L22" i="3"/>
  <c r="L20" i="3" s="1"/>
  <c r="O314" i="15"/>
  <c r="L312" i="15"/>
  <c r="P252" i="19"/>
  <c r="L11" i="20"/>
  <c r="O11" i="20" s="1"/>
  <c r="P222" i="11"/>
  <c r="P220" i="9"/>
  <c r="O16" i="7"/>
  <c r="P22" i="7"/>
  <c r="M41" i="18"/>
  <c r="P41" i="18" s="1"/>
  <c r="M96" i="6"/>
  <c r="M94" i="6" s="1"/>
  <c r="P94" i="6" s="1"/>
  <c r="P331" i="6"/>
  <c r="N28" i="14"/>
  <c r="P329" i="6"/>
  <c r="P273" i="12"/>
  <c r="M22" i="1"/>
  <c r="O34" i="14"/>
  <c r="L33" i="1"/>
  <c r="O33" i="1" s="1"/>
  <c r="L22" i="18"/>
  <c r="O22" i="18" s="1"/>
  <c r="O34" i="10"/>
  <c r="L271" i="6"/>
  <c r="O271" i="6" s="1"/>
  <c r="L26" i="1"/>
  <c r="L16" i="1" s="1"/>
  <c r="O34" i="13"/>
  <c r="N11" i="13"/>
  <c r="N9" i="13" s="1"/>
  <c r="O273" i="20"/>
  <c r="P271" i="20"/>
  <c r="O271" i="20"/>
  <c r="N41" i="20"/>
  <c r="P41" i="20" s="1"/>
  <c r="O96" i="17"/>
  <c r="O140" i="16"/>
  <c r="N12" i="12"/>
  <c r="N10" i="12" s="1"/>
  <c r="O34" i="3"/>
  <c r="N53" i="15"/>
  <c r="P53" i="15" s="1"/>
  <c r="O34" i="16"/>
  <c r="O142" i="16"/>
  <c r="P66" i="11"/>
  <c r="N312" i="1"/>
  <c r="L142" i="19"/>
  <c r="O144" i="19"/>
  <c r="P222" i="15"/>
  <c r="M329" i="20"/>
  <c r="P329" i="20" s="1"/>
  <c r="P331" i="20"/>
  <c r="P273" i="21"/>
  <c r="O96" i="21"/>
  <c r="N53" i="13"/>
  <c r="N37" i="13" s="1"/>
  <c r="L310" i="12"/>
  <c r="O310" i="12" s="1"/>
  <c r="M41" i="9"/>
  <c r="P41" i="9" s="1"/>
  <c r="L222" i="8"/>
  <c r="P43" i="8"/>
  <c r="O68" i="5"/>
  <c r="M26" i="5"/>
  <c r="P26" i="5" s="1"/>
  <c r="P120" i="20"/>
  <c r="O23" i="18"/>
  <c r="L13" i="18"/>
  <c r="O13" i="18" s="1"/>
  <c r="N220" i="16"/>
  <c r="N37" i="16" s="1"/>
  <c r="O31" i="17"/>
  <c r="L11" i="17"/>
  <c r="L29" i="17"/>
  <c r="O29" i="17" s="1"/>
  <c r="O331" i="8"/>
  <c r="O535" i="1"/>
  <c r="L32" i="1"/>
  <c r="I367" i="1"/>
  <c r="K367" i="1" s="1"/>
  <c r="K369" i="1"/>
  <c r="L41" i="14"/>
  <c r="O41" i="14" s="1"/>
  <c r="P250" i="8"/>
  <c r="O45" i="11"/>
  <c r="L43" i="11"/>
  <c r="L29" i="21"/>
  <c r="O31" i="21"/>
  <c r="L22" i="14"/>
  <c r="L20" i="14" s="1"/>
  <c r="L290" i="16"/>
  <c r="O290" i="16" s="1"/>
  <c r="O55" i="6"/>
  <c r="P68" i="5"/>
  <c r="L94" i="3"/>
  <c r="O94" i="3" s="1"/>
  <c r="L68" i="17"/>
  <c r="O70" i="17"/>
  <c r="N11" i="16"/>
  <c r="N9" i="16" s="1"/>
  <c r="N29" i="16"/>
  <c r="N28" i="16" s="1"/>
  <c r="O24" i="12"/>
  <c r="L14" i="12"/>
  <c r="O14" i="12" s="1"/>
  <c r="L312" i="5"/>
  <c r="O314" i="5"/>
  <c r="O122" i="5"/>
  <c r="L120" i="5"/>
  <c r="P312" i="21"/>
  <c r="M310" i="21"/>
  <c r="P310" i="21" s="1"/>
  <c r="O57" i="17"/>
  <c r="L55" i="17"/>
  <c r="O30" i="21"/>
  <c r="O31" i="14"/>
  <c r="L29" i="14"/>
  <c r="O29" i="14" s="1"/>
  <c r="L11" i="14"/>
  <c r="O11" i="14" s="1"/>
  <c r="N14" i="20"/>
  <c r="P66" i="15"/>
  <c r="O55" i="13"/>
  <c r="L94" i="10"/>
  <c r="O94" i="10" s="1"/>
  <c r="M329" i="5"/>
  <c r="P329" i="5" s="1"/>
  <c r="O24" i="19"/>
  <c r="L14" i="19"/>
  <c r="O14" i="19" s="1"/>
  <c r="O275" i="15"/>
  <c r="L273" i="15"/>
  <c r="P329" i="18"/>
  <c r="N20" i="14"/>
  <c r="N18" i="14" s="1"/>
  <c r="N16" i="14"/>
  <c r="O31" i="11"/>
  <c r="L29" i="11"/>
  <c r="P55" i="8"/>
  <c r="N140" i="4"/>
  <c r="O294" i="21"/>
  <c r="L292" i="21"/>
  <c r="L292" i="20"/>
  <c r="O294" i="20"/>
  <c r="O31" i="19"/>
  <c r="L29" i="19"/>
  <c r="O29" i="19" s="1"/>
  <c r="L11" i="19"/>
  <c r="O70" i="19"/>
  <c r="L68" i="19"/>
  <c r="L29" i="18"/>
  <c r="O31" i="18"/>
  <c r="L11" i="18"/>
  <c r="O312" i="14"/>
  <c r="L310" i="14"/>
  <c r="O310" i="14" s="1"/>
  <c r="P271" i="21"/>
  <c r="L310" i="17"/>
  <c r="O310" i="17" s="1"/>
  <c r="L310" i="10"/>
  <c r="O310" i="10" s="1"/>
  <c r="L333" i="1"/>
  <c r="O333" i="1" s="1"/>
  <c r="P337" i="20"/>
  <c r="M26" i="20"/>
  <c r="M20" i="20" s="1"/>
  <c r="P273" i="20"/>
  <c r="L142" i="12"/>
  <c r="O144" i="12"/>
  <c r="N12" i="8"/>
  <c r="L30" i="8"/>
  <c r="O30" i="8" s="1"/>
  <c r="O32" i="8"/>
  <c r="L29" i="8"/>
  <c r="L11" i="8"/>
  <c r="N37" i="11"/>
  <c r="L22" i="8"/>
  <c r="O22" i="8" s="1"/>
  <c r="L310" i="3"/>
  <c r="O310" i="3" s="1"/>
  <c r="P120" i="17"/>
  <c r="O24" i="17"/>
  <c r="L14" i="17"/>
  <c r="O224" i="11"/>
  <c r="L222" i="11"/>
  <c r="O26" i="12"/>
  <c r="L16" i="12"/>
  <c r="O16" i="12" s="1"/>
  <c r="O32" i="5"/>
  <c r="K619" i="1"/>
  <c r="K615" i="1"/>
  <c r="P41" i="10"/>
  <c r="N94" i="1"/>
  <c r="P96" i="5"/>
  <c r="M94" i="5"/>
  <c r="P94" i="5" s="1"/>
  <c r="P53" i="5"/>
  <c r="L30" i="17"/>
  <c r="O32" i="17"/>
  <c r="L222" i="15"/>
  <c r="O224" i="15"/>
  <c r="P22" i="16"/>
  <c r="M12" i="16"/>
  <c r="P19" i="15"/>
  <c r="O24" i="13"/>
  <c r="L14" i="13"/>
  <c r="O14" i="13" s="1"/>
  <c r="O275" i="12"/>
  <c r="L273" i="12"/>
  <c r="M9" i="14"/>
  <c r="P11" i="14"/>
  <c r="P22" i="10"/>
  <c r="M12" i="10"/>
  <c r="O122" i="10"/>
  <c r="L120" i="10"/>
  <c r="O275" i="10"/>
  <c r="L273" i="10"/>
  <c r="L16" i="10"/>
  <c r="O16" i="10" s="1"/>
  <c r="O26" i="10"/>
  <c r="N53" i="10"/>
  <c r="P53" i="10" s="1"/>
  <c r="L29" i="10"/>
  <c r="O31" i="10"/>
  <c r="O68" i="11"/>
  <c r="P16" i="9"/>
  <c r="N16" i="8"/>
  <c r="P26" i="8"/>
  <c r="N20" i="8"/>
  <c r="N18" i="8" s="1"/>
  <c r="O224" i="6"/>
  <c r="L222" i="6"/>
  <c r="M26" i="6"/>
  <c r="P49" i="6"/>
  <c r="O19" i="6"/>
  <c r="O23" i="4"/>
  <c r="L13" i="4"/>
  <c r="O13" i="4" s="1"/>
  <c r="N290" i="4"/>
  <c r="P22" i="3"/>
  <c r="M12" i="3"/>
  <c r="P222" i="2"/>
  <c r="M222" i="1"/>
  <c r="O273" i="2"/>
  <c r="O312" i="2"/>
  <c r="L220" i="2"/>
  <c r="O222" i="2"/>
  <c r="P224" i="1"/>
  <c r="N12" i="21"/>
  <c r="N10" i="21" s="1"/>
  <c r="N20" i="21"/>
  <c r="N18" i="21" s="1"/>
  <c r="P337" i="19"/>
  <c r="M26" i="19"/>
  <c r="M20" i="19" s="1"/>
  <c r="P55" i="19"/>
  <c r="M53" i="19"/>
  <c r="P53" i="19" s="1"/>
  <c r="P142" i="21"/>
  <c r="M140" i="21"/>
  <c r="P140" i="21" s="1"/>
  <c r="P252" i="21"/>
  <c r="M250" i="21"/>
  <c r="P250" i="21" s="1"/>
  <c r="M53" i="20"/>
  <c r="P53" i="20" s="1"/>
  <c r="P30" i="20"/>
  <c r="M28" i="20"/>
  <c r="P28" i="20" s="1"/>
  <c r="L30" i="20"/>
  <c r="O30" i="20" s="1"/>
  <c r="O32" i="20"/>
  <c r="O26" i="19"/>
  <c r="L16" i="19"/>
  <c r="O16" i="19" s="1"/>
  <c r="P96" i="17"/>
  <c r="M94" i="17"/>
  <c r="P94" i="17" s="1"/>
  <c r="N14" i="17"/>
  <c r="O34" i="17"/>
  <c r="P142" i="15"/>
  <c r="M140" i="15"/>
  <c r="P140" i="15" s="1"/>
  <c r="M53" i="16"/>
  <c r="P53" i="16" s="1"/>
  <c r="P55" i="16"/>
  <c r="L118" i="17"/>
  <c r="O118" i="17" s="1"/>
  <c r="O120" i="17"/>
  <c r="M220" i="12"/>
  <c r="P220" i="12" s="1"/>
  <c r="P222" i="12"/>
  <c r="M96" i="13"/>
  <c r="O224" i="13"/>
  <c r="L222" i="13"/>
  <c r="P142" i="13"/>
  <c r="M140" i="13"/>
  <c r="P140" i="13" s="1"/>
  <c r="P29" i="14"/>
  <c r="M28" i="14"/>
  <c r="P28" i="14" s="1"/>
  <c r="P96" i="10"/>
  <c r="M94" i="10"/>
  <c r="P94" i="10" s="1"/>
  <c r="N20" i="10"/>
  <c r="N18" i="10" s="1"/>
  <c r="N12" i="10"/>
  <c r="N10" i="10" s="1"/>
  <c r="M66" i="9"/>
  <c r="P66" i="9" s="1"/>
  <c r="P30" i="9"/>
  <c r="M28" i="9"/>
  <c r="P28" i="9" s="1"/>
  <c r="O26" i="11"/>
  <c r="L16" i="11"/>
  <c r="O16" i="11" s="1"/>
  <c r="O26" i="8"/>
  <c r="L16" i="8"/>
  <c r="P66" i="8"/>
  <c r="P222" i="9"/>
  <c r="P26" i="9"/>
  <c r="N20" i="7"/>
  <c r="N18" i="7" s="1"/>
  <c r="N20" i="6"/>
  <c r="N18" i="6" s="1"/>
  <c r="N12" i="6"/>
  <c r="N10" i="6" s="1"/>
  <c r="O43" i="8"/>
  <c r="L41" i="8"/>
  <c r="L22" i="6"/>
  <c r="L43" i="6"/>
  <c r="O45" i="6"/>
  <c r="M41" i="5"/>
  <c r="P142" i="5"/>
  <c r="M140" i="5"/>
  <c r="P140" i="5" s="1"/>
  <c r="M53" i="2"/>
  <c r="P53" i="2" s="1"/>
  <c r="P55" i="2"/>
  <c r="M331" i="3"/>
  <c r="O26" i="4"/>
  <c r="L16" i="4"/>
  <c r="O16" i="4" s="1"/>
  <c r="O144" i="4"/>
  <c r="L142" i="4"/>
  <c r="L144" i="1"/>
  <c r="O144" i="1" s="1"/>
  <c r="N271" i="2"/>
  <c r="P271" i="2" s="1"/>
  <c r="N273" i="1"/>
  <c r="L29" i="3"/>
  <c r="O31" i="3"/>
  <c r="N20" i="3"/>
  <c r="N18" i="3" s="1"/>
  <c r="N12" i="3"/>
  <c r="N10" i="3" s="1"/>
  <c r="M26" i="3"/>
  <c r="N55" i="1"/>
  <c r="N26" i="1"/>
  <c r="N16" i="1" s="1"/>
  <c r="M312" i="1"/>
  <c r="N329" i="2"/>
  <c r="O120" i="2"/>
  <c r="N310" i="1"/>
  <c r="M120" i="1"/>
  <c r="O224" i="21"/>
  <c r="L222" i="21"/>
  <c r="P142" i="17"/>
  <c r="M140" i="17"/>
  <c r="P140" i="17" s="1"/>
  <c r="P19" i="20"/>
  <c r="M220" i="19"/>
  <c r="P220" i="19" s="1"/>
  <c r="P142" i="18"/>
  <c r="M140" i="18"/>
  <c r="P140" i="18" s="1"/>
  <c r="L13" i="19"/>
  <c r="O13" i="19" s="1"/>
  <c r="N12" i="18"/>
  <c r="N10" i="18" s="1"/>
  <c r="N20" i="18"/>
  <c r="N18" i="18" s="1"/>
  <c r="P55" i="17"/>
  <c r="M53" i="17"/>
  <c r="P53" i="17" s="1"/>
  <c r="M9" i="17"/>
  <c r="P15" i="17"/>
  <c r="L14" i="18"/>
  <c r="O14" i="18" s="1"/>
  <c r="O24" i="18"/>
  <c r="O26" i="17"/>
  <c r="L16" i="17"/>
  <c r="O16" i="17" s="1"/>
  <c r="N20" i="17"/>
  <c r="N18" i="17" s="1"/>
  <c r="N12" i="17"/>
  <c r="N10" i="17" s="1"/>
  <c r="O144" i="14"/>
  <c r="L142" i="14"/>
  <c r="O57" i="14"/>
  <c r="L55" i="14"/>
  <c r="O23" i="15"/>
  <c r="L13" i="15"/>
  <c r="O13" i="15" s="1"/>
  <c r="N271" i="14"/>
  <c r="M53" i="9"/>
  <c r="P53" i="9" s="1"/>
  <c r="P55" i="9"/>
  <c r="O19" i="11"/>
  <c r="P331" i="11"/>
  <c r="M329" i="11"/>
  <c r="P329" i="11" s="1"/>
  <c r="P9" i="11"/>
  <c r="P9" i="12"/>
  <c r="O23" i="10"/>
  <c r="L13" i="10"/>
  <c r="O13" i="10" s="1"/>
  <c r="O55" i="7"/>
  <c r="L53" i="7"/>
  <c r="O53" i="7" s="1"/>
  <c r="O26" i="5"/>
  <c r="L16" i="5"/>
  <c r="O16" i="5" s="1"/>
  <c r="L16" i="6"/>
  <c r="O16" i="6" s="1"/>
  <c r="O26" i="6"/>
  <c r="M9" i="5"/>
  <c r="P11" i="5"/>
  <c r="M118" i="6"/>
  <c r="P118" i="6" s="1"/>
  <c r="P9" i="6"/>
  <c r="P19" i="4"/>
  <c r="P19" i="3"/>
  <c r="P49" i="4"/>
  <c r="M26" i="4"/>
  <c r="M20" i="4" s="1"/>
  <c r="M49" i="1"/>
  <c r="O331" i="3"/>
  <c r="L329" i="3"/>
  <c r="O329" i="3" s="1"/>
  <c r="P220" i="2"/>
  <c r="L13" i="3"/>
  <c r="O13" i="3" s="1"/>
  <c r="O24" i="3"/>
  <c r="L14" i="3"/>
  <c r="O14" i="3" s="1"/>
  <c r="N252" i="1"/>
  <c r="L31" i="1"/>
  <c r="L11" i="1" s="1"/>
  <c r="N222" i="1"/>
  <c r="M292" i="1"/>
  <c r="P9" i="21"/>
  <c r="P29" i="21"/>
  <c r="M28" i="21"/>
  <c r="P28" i="21" s="1"/>
  <c r="P22" i="21"/>
  <c r="L13" i="20"/>
  <c r="O13" i="20" s="1"/>
  <c r="O23" i="20"/>
  <c r="O45" i="20"/>
  <c r="L43" i="20"/>
  <c r="L22" i="20"/>
  <c r="O55" i="19"/>
  <c r="L53" i="19"/>
  <c r="O53" i="19" s="1"/>
  <c r="M271" i="18"/>
  <c r="P271" i="18" s="1"/>
  <c r="O16" i="20"/>
  <c r="P337" i="17"/>
  <c r="M26" i="17"/>
  <c r="L222" i="18"/>
  <c r="O224" i="18"/>
  <c r="P22" i="18"/>
  <c r="P337" i="16"/>
  <c r="M331" i="16"/>
  <c r="M26" i="16"/>
  <c r="M20" i="16" s="1"/>
  <c r="O70" i="18"/>
  <c r="L68" i="18"/>
  <c r="P252" i="15"/>
  <c r="M250" i="15"/>
  <c r="P250" i="15" s="1"/>
  <c r="L30" i="16"/>
  <c r="O30" i="16" s="1"/>
  <c r="O32" i="16"/>
  <c r="P68" i="16"/>
  <c r="M66" i="16"/>
  <c r="P66" i="16" s="1"/>
  <c r="O26" i="14"/>
  <c r="L16" i="14"/>
  <c r="O57" i="15"/>
  <c r="L55" i="15"/>
  <c r="L29" i="13"/>
  <c r="O31" i="13"/>
  <c r="P252" i="13"/>
  <c r="M250" i="13"/>
  <c r="P250" i="13" s="1"/>
  <c r="P41" i="12"/>
  <c r="L9" i="11"/>
  <c r="O11" i="11"/>
  <c r="P26" i="11"/>
  <c r="M16" i="11"/>
  <c r="P16" i="11" s="1"/>
  <c r="P252" i="10"/>
  <c r="M250" i="10"/>
  <c r="P250" i="10" s="1"/>
  <c r="O222" i="12"/>
  <c r="L220" i="12"/>
  <c r="O220" i="12" s="1"/>
  <c r="P22" i="11"/>
  <c r="M12" i="11"/>
  <c r="M20" i="11"/>
  <c r="O57" i="10"/>
  <c r="L55" i="10"/>
  <c r="O16" i="9"/>
  <c r="P273" i="11"/>
  <c r="N66" i="10"/>
  <c r="P66" i="10" s="1"/>
  <c r="P68" i="10"/>
  <c r="O23" i="9"/>
  <c r="L13" i="9"/>
  <c r="O13" i="9" s="1"/>
  <c r="P19" i="8"/>
  <c r="O34" i="11"/>
  <c r="N37" i="9"/>
  <c r="L140" i="8"/>
  <c r="O140" i="8" s="1"/>
  <c r="M220" i="6"/>
  <c r="P220" i="6" s="1"/>
  <c r="M53" i="3"/>
  <c r="P53" i="3" s="1"/>
  <c r="P29" i="5"/>
  <c r="M28" i="5"/>
  <c r="P28" i="5" s="1"/>
  <c r="P41" i="3"/>
  <c r="O24" i="4"/>
  <c r="L14" i="4"/>
  <c r="M252" i="1"/>
  <c r="M250" i="2"/>
  <c r="P252" i="2"/>
  <c r="P11" i="1"/>
  <c r="M9" i="1"/>
  <c r="L120" i="3"/>
  <c r="O122" i="3"/>
  <c r="P331" i="4"/>
  <c r="M329" i="4"/>
  <c r="P329" i="4" s="1"/>
  <c r="M118" i="3"/>
  <c r="P118" i="3" s="1"/>
  <c r="L14" i="2"/>
  <c r="O14" i="2" s="1"/>
  <c r="O24" i="2"/>
  <c r="M273" i="1"/>
  <c r="L122" i="1"/>
  <c r="O122" i="1" s="1"/>
  <c r="O96" i="2"/>
  <c r="N96" i="1"/>
  <c r="M220" i="20"/>
  <c r="P220" i="20" s="1"/>
  <c r="P222" i="20"/>
  <c r="M331" i="19"/>
  <c r="M9" i="20"/>
  <c r="P11" i="20"/>
  <c r="P43" i="19"/>
  <c r="M41" i="19"/>
  <c r="L13" i="17"/>
  <c r="O13" i="17" s="1"/>
  <c r="O23" i="17"/>
  <c r="M331" i="17"/>
  <c r="N12" i="16"/>
  <c r="N10" i="16" s="1"/>
  <c r="N20" i="16"/>
  <c r="N18" i="16" s="1"/>
  <c r="O122" i="15"/>
  <c r="L120" i="15"/>
  <c r="O96" i="16"/>
  <c r="L94" i="16"/>
  <c r="O94" i="16" s="1"/>
  <c r="O333" i="16"/>
  <c r="L331" i="16"/>
  <c r="O33" i="16"/>
  <c r="L13" i="16"/>
  <c r="O13" i="16" s="1"/>
  <c r="O254" i="14"/>
  <c r="L252" i="14"/>
  <c r="M26" i="14"/>
  <c r="P49" i="14"/>
  <c r="L53" i="13"/>
  <c r="M41" i="14"/>
  <c r="L22" i="13"/>
  <c r="O45" i="13"/>
  <c r="L43" i="13"/>
  <c r="N12" i="13"/>
  <c r="N10" i="13" s="1"/>
  <c r="N20" i="13"/>
  <c r="N18" i="13" s="1"/>
  <c r="N12" i="11"/>
  <c r="N10" i="11" s="1"/>
  <c r="N20" i="11"/>
  <c r="N18" i="11" s="1"/>
  <c r="P96" i="11"/>
  <c r="M94" i="11"/>
  <c r="P94" i="11" s="1"/>
  <c r="O26" i="9"/>
  <c r="M220" i="7"/>
  <c r="P220" i="7" s="1"/>
  <c r="P222" i="7"/>
  <c r="P68" i="11"/>
  <c r="L29" i="9"/>
  <c r="O31" i="9"/>
  <c r="N271" i="10"/>
  <c r="P271" i="10" s="1"/>
  <c r="P273" i="10"/>
  <c r="M310" i="8"/>
  <c r="P310" i="8" s="1"/>
  <c r="P142" i="7"/>
  <c r="P68" i="6"/>
  <c r="M66" i="6"/>
  <c r="P66" i="6" s="1"/>
  <c r="M9" i="8"/>
  <c r="N12" i="5"/>
  <c r="N10" i="5" s="1"/>
  <c r="N20" i="5"/>
  <c r="N18" i="5" s="1"/>
  <c r="N53" i="6"/>
  <c r="N29" i="5"/>
  <c r="N28" i="5" s="1"/>
  <c r="N11" i="5"/>
  <c r="N9" i="5" s="1"/>
  <c r="O19" i="4"/>
  <c r="M41" i="4"/>
  <c r="M140" i="2"/>
  <c r="M142" i="1"/>
  <c r="P142" i="2"/>
  <c r="M118" i="4"/>
  <c r="P118" i="4" s="1"/>
  <c r="O94" i="2"/>
  <c r="P55" i="5"/>
  <c r="M9" i="2"/>
  <c r="P15" i="2"/>
  <c r="N20" i="2"/>
  <c r="N12" i="2"/>
  <c r="N10" i="2" s="1"/>
  <c r="L19" i="1"/>
  <c r="O21" i="1"/>
  <c r="L28" i="2"/>
  <c r="O252" i="2"/>
  <c r="L250" i="2"/>
  <c r="M41" i="21"/>
  <c r="M26" i="21"/>
  <c r="P49" i="21"/>
  <c r="O94" i="21"/>
  <c r="P252" i="20"/>
  <c r="N250" i="20"/>
  <c r="P68" i="20"/>
  <c r="M66" i="20"/>
  <c r="P66" i="20" s="1"/>
  <c r="P142" i="20"/>
  <c r="N140" i="20"/>
  <c r="O140" i="20" s="1"/>
  <c r="N53" i="18"/>
  <c r="P55" i="18"/>
  <c r="P252" i="18"/>
  <c r="M250" i="18"/>
  <c r="P250" i="18" s="1"/>
  <c r="M41" i="17"/>
  <c r="P43" i="17"/>
  <c r="L292" i="17"/>
  <c r="O294" i="17"/>
  <c r="M94" i="16"/>
  <c r="P94" i="16" s="1"/>
  <c r="P96" i="16"/>
  <c r="P41" i="16"/>
  <c r="M118" i="14"/>
  <c r="P118" i="14" s="1"/>
  <c r="M26" i="13"/>
  <c r="P49" i="13"/>
  <c r="M43" i="13"/>
  <c r="O23" i="11"/>
  <c r="L13" i="11"/>
  <c r="O13" i="11" s="1"/>
  <c r="O23" i="13"/>
  <c r="L13" i="13"/>
  <c r="O13" i="13" s="1"/>
  <c r="M9" i="13"/>
  <c r="P11" i="13"/>
  <c r="M250" i="14"/>
  <c r="P250" i="14" s="1"/>
  <c r="P43" i="10"/>
  <c r="P142" i="11"/>
  <c r="M140" i="11"/>
  <c r="P140" i="11" s="1"/>
  <c r="M220" i="11"/>
  <c r="P220" i="11" s="1"/>
  <c r="M41" i="11"/>
  <c r="O11" i="9"/>
  <c r="L9" i="9"/>
  <c r="L30" i="14"/>
  <c r="O32" i="14"/>
  <c r="P252" i="11"/>
  <c r="M250" i="11"/>
  <c r="P250" i="11" s="1"/>
  <c r="O32" i="12"/>
  <c r="N11" i="11"/>
  <c r="N9" i="11" s="1"/>
  <c r="M9" i="7"/>
  <c r="P11" i="7"/>
  <c r="N140" i="7"/>
  <c r="N142" i="1"/>
  <c r="L22" i="10"/>
  <c r="M20" i="9"/>
  <c r="P22" i="9"/>
  <c r="M12" i="9"/>
  <c r="P22" i="8"/>
  <c r="M12" i="8"/>
  <c r="M20" i="8"/>
  <c r="P55" i="7"/>
  <c r="M53" i="7"/>
  <c r="P53" i="7" s="1"/>
  <c r="L53" i="6"/>
  <c r="L329" i="6"/>
  <c r="O329" i="6" s="1"/>
  <c r="O96" i="7"/>
  <c r="P11" i="3"/>
  <c r="M9" i="3"/>
  <c r="O24" i="5"/>
  <c r="L14" i="5"/>
  <c r="O14" i="5" s="1"/>
  <c r="L22" i="5"/>
  <c r="O45" i="5"/>
  <c r="L43" i="5"/>
  <c r="L45" i="1"/>
  <c r="L9" i="4"/>
  <c r="O11" i="4"/>
  <c r="L273" i="4"/>
  <c r="O275" i="4"/>
  <c r="O26" i="2"/>
  <c r="L16" i="2"/>
  <c r="O16" i="2" s="1"/>
  <c r="L271" i="3"/>
  <c r="O271" i="3" s="1"/>
  <c r="O273" i="3"/>
  <c r="O32" i="4"/>
  <c r="L30" i="4"/>
  <c r="O30" i="4" s="1"/>
  <c r="M271" i="3"/>
  <c r="P271" i="3" s="1"/>
  <c r="O15" i="2"/>
  <c r="L294" i="1"/>
  <c r="O294" i="1" s="1"/>
  <c r="P273" i="2"/>
  <c r="N68" i="1"/>
  <c r="L254" i="1"/>
  <c r="O254" i="1" s="1"/>
  <c r="P22" i="19"/>
  <c r="M12" i="19"/>
  <c r="L16" i="21"/>
  <c r="O16" i="21" s="1"/>
  <c r="O26" i="21"/>
  <c r="L22" i="21"/>
  <c r="O45" i="21"/>
  <c r="L43" i="21"/>
  <c r="O142" i="20"/>
  <c r="N37" i="19"/>
  <c r="P96" i="19"/>
  <c r="M94" i="19"/>
  <c r="P94" i="19" s="1"/>
  <c r="M118" i="18"/>
  <c r="P118" i="18" s="1"/>
  <c r="O26" i="18"/>
  <c r="L16" i="18"/>
  <c r="O16" i="18" s="1"/>
  <c r="P29" i="16"/>
  <c r="M28" i="16"/>
  <c r="P28" i="16" s="1"/>
  <c r="P273" i="15"/>
  <c r="M271" i="15"/>
  <c r="P271" i="15" s="1"/>
  <c r="M118" i="15"/>
  <c r="P118" i="15" s="1"/>
  <c r="O26" i="16"/>
  <c r="L16" i="16"/>
  <c r="O16" i="16" s="1"/>
  <c r="M329" i="14"/>
  <c r="P329" i="14" s="1"/>
  <c r="P331" i="14"/>
  <c r="O26" i="13"/>
  <c r="L16" i="13"/>
  <c r="O16" i="13" s="1"/>
  <c r="L30" i="15"/>
  <c r="O32" i="15"/>
  <c r="P11" i="15"/>
  <c r="M9" i="15"/>
  <c r="N37" i="12"/>
  <c r="P29" i="13"/>
  <c r="M28" i="13"/>
  <c r="P28" i="13" s="1"/>
  <c r="M140" i="14"/>
  <c r="P140" i="14" s="1"/>
  <c r="L11" i="13"/>
  <c r="L13" i="12"/>
  <c r="O13" i="12" s="1"/>
  <c r="O292" i="12"/>
  <c r="L290" i="12"/>
  <c r="O290" i="12" s="1"/>
  <c r="P142" i="10"/>
  <c r="M140" i="10"/>
  <c r="P140" i="10" s="1"/>
  <c r="M220" i="10"/>
  <c r="P220" i="10" s="1"/>
  <c r="M271" i="8"/>
  <c r="P271" i="8" s="1"/>
  <c r="O19" i="10"/>
  <c r="N14" i="9"/>
  <c r="O34" i="9"/>
  <c r="O23" i="8"/>
  <c r="L13" i="8"/>
  <c r="O13" i="8" s="1"/>
  <c r="L14" i="10"/>
  <c r="O14" i="10" s="1"/>
  <c r="O333" i="9"/>
  <c r="L331" i="9"/>
  <c r="N20" i="9"/>
  <c r="N18" i="9" s="1"/>
  <c r="N12" i="9"/>
  <c r="N10" i="9" s="1"/>
  <c r="P140" i="8"/>
  <c r="P120" i="11"/>
  <c r="O30" i="9"/>
  <c r="O94" i="7"/>
  <c r="L310" i="7"/>
  <c r="O310" i="7" s="1"/>
  <c r="O312" i="7"/>
  <c r="M43" i="6"/>
  <c r="P22" i="6"/>
  <c r="O11" i="3"/>
  <c r="L9" i="3"/>
  <c r="L222" i="5"/>
  <c r="O224" i="5"/>
  <c r="O23" i="5"/>
  <c r="L13" i="5"/>
  <c r="O13" i="5" s="1"/>
  <c r="N14" i="4"/>
  <c r="O34" i="4"/>
  <c r="N37" i="3"/>
  <c r="N120" i="1"/>
  <c r="N118" i="2"/>
  <c r="P22" i="5"/>
  <c r="L53" i="2"/>
  <c r="P310" i="2"/>
  <c r="L310" i="2"/>
  <c r="M271" i="4"/>
  <c r="P271" i="4" s="1"/>
  <c r="P94" i="2"/>
  <c r="P26" i="2"/>
  <c r="M16" i="2"/>
  <c r="P16" i="2" s="1"/>
  <c r="L9" i="21"/>
  <c r="O11" i="21"/>
  <c r="O24" i="21"/>
  <c r="L14" i="21"/>
  <c r="O14" i="21" s="1"/>
  <c r="O23" i="21"/>
  <c r="L13" i="21"/>
  <c r="O13" i="21" s="1"/>
  <c r="M12" i="20"/>
  <c r="P22" i="20"/>
  <c r="O34" i="19"/>
  <c r="L30" i="19"/>
  <c r="O32" i="19"/>
  <c r="N20" i="19"/>
  <c r="N18" i="19" s="1"/>
  <c r="N12" i="19"/>
  <c r="N10" i="19" s="1"/>
  <c r="O333" i="19"/>
  <c r="L331" i="19"/>
  <c r="L22" i="19"/>
  <c r="P68" i="19"/>
  <c r="M66" i="19"/>
  <c r="P66" i="19" s="1"/>
  <c r="P66" i="18"/>
  <c r="M26" i="18"/>
  <c r="P49" i="18"/>
  <c r="P252" i="17"/>
  <c r="M250" i="17"/>
  <c r="P250" i="17" s="1"/>
  <c r="O55" i="18"/>
  <c r="O45" i="16"/>
  <c r="L43" i="16"/>
  <c r="L22" i="16"/>
  <c r="M9" i="16"/>
  <c r="P11" i="16"/>
  <c r="O29" i="16"/>
  <c r="P19" i="16"/>
  <c r="P102" i="15"/>
  <c r="M96" i="15"/>
  <c r="L22" i="15"/>
  <c r="P337" i="12"/>
  <c r="M26" i="12"/>
  <c r="O32" i="13"/>
  <c r="L30" i="13"/>
  <c r="O30" i="13" s="1"/>
  <c r="O30" i="12"/>
  <c r="L28" i="12"/>
  <c r="M331" i="12"/>
  <c r="P118" i="11"/>
  <c r="L22" i="12"/>
  <c r="O122" i="11"/>
  <c r="L120" i="11"/>
  <c r="P22" i="13"/>
  <c r="O24" i="11"/>
  <c r="L14" i="11"/>
  <c r="O14" i="11" s="1"/>
  <c r="O70" i="10"/>
  <c r="L68" i="10"/>
  <c r="L70" i="1"/>
  <c r="O70" i="1" s="1"/>
  <c r="L11" i="10"/>
  <c r="L14" i="8"/>
  <c r="O14" i="8" s="1"/>
  <c r="P120" i="8"/>
  <c r="M118" i="8"/>
  <c r="P118" i="8" s="1"/>
  <c r="P331" i="9"/>
  <c r="M329" i="9"/>
  <c r="P329" i="9" s="1"/>
  <c r="N37" i="8"/>
  <c r="O32" i="9"/>
  <c r="P102" i="5"/>
  <c r="M102" i="1"/>
  <c r="P102" i="1" s="1"/>
  <c r="O26" i="7"/>
  <c r="P252" i="5"/>
  <c r="M250" i="5"/>
  <c r="P250" i="5" s="1"/>
  <c r="P22" i="4"/>
  <c r="M12" i="4"/>
  <c r="O34" i="5"/>
  <c r="P9" i="4"/>
  <c r="N20" i="4"/>
  <c r="N18" i="4" s="1"/>
  <c r="L29" i="4"/>
  <c r="O31" i="4"/>
  <c r="M41" i="2"/>
  <c r="L57" i="1"/>
  <c r="L275" i="1"/>
  <c r="O275" i="1" s="1"/>
  <c r="M337" i="1"/>
  <c r="P337" i="1" s="1"/>
  <c r="L224" i="1"/>
  <c r="O224" i="1" s="1"/>
  <c r="O252" i="20" l="1"/>
  <c r="O273" i="16"/>
  <c r="O331" i="7"/>
  <c r="P331" i="2"/>
  <c r="L94" i="19"/>
  <c r="O94" i="19" s="1"/>
  <c r="L118" i="21"/>
  <c r="O118" i="21" s="1"/>
  <c r="N8" i="2"/>
  <c r="L250" i="7"/>
  <c r="O250" i="7" s="1"/>
  <c r="L9" i="16"/>
  <c r="O9" i="16" s="1"/>
  <c r="L250" i="4"/>
  <c r="O250" i="4" s="1"/>
  <c r="L53" i="9"/>
  <c r="O53" i="9" s="1"/>
  <c r="L329" i="15"/>
  <c r="O329" i="15" s="1"/>
  <c r="O55" i="5"/>
  <c r="L220" i="7"/>
  <c r="O220" i="7" s="1"/>
  <c r="O11" i="6"/>
  <c r="O331" i="2"/>
  <c r="L290" i="4"/>
  <c r="O290" i="4" s="1"/>
  <c r="P20" i="2"/>
  <c r="O250" i="20"/>
  <c r="O28" i="2"/>
  <c r="L94" i="5"/>
  <c r="O94" i="5" s="1"/>
  <c r="O43" i="9"/>
  <c r="L66" i="4"/>
  <c r="O66" i="4" s="1"/>
  <c r="L94" i="11"/>
  <c r="O94" i="11" s="1"/>
  <c r="L271" i="18"/>
  <c r="O271" i="18" s="1"/>
  <c r="L140" i="6"/>
  <c r="O140" i="6" s="1"/>
  <c r="P12" i="6"/>
  <c r="L94" i="8"/>
  <c r="O94" i="8" s="1"/>
  <c r="L66" i="3"/>
  <c r="O66" i="3" s="1"/>
  <c r="L290" i="10"/>
  <c r="O290" i="10" s="1"/>
  <c r="L9" i="5"/>
  <c r="O9" i="5" s="1"/>
  <c r="O43" i="7"/>
  <c r="L250" i="10"/>
  <c r="O250" i="10" s="1"/>
  <c r="M41" i="7"/>
  <c r="M37" i="7" s="1"/>
  <c r="L290" i="2"/>
  <c r="L37" i="2" s="1"/>
  <c r="M16" i="15"/>
  <c r="P16" i="15" s="1"/>
  <c r="L290" i="7"/>
  <c r="O290" i="7" s="1"/>
  <c r="O120" i="4"/>
  <c r="N8" i="7"/>
  <c r="O11" i="7"/>
  <c r="L41" i="3"/>
  <c r="O41" i="3" s="1"/>
  <c r="M16" i="7"/>
  <c r="P16" i="7" s="1"/>
  <c r="P26" i="7"/>
  <c r="L290" i="5"/>
  <c r="O290" i="5" s="1"/>
  <c r="N37" i="5"/>
  <c r="O55" i="21"/>
  <c r="L250" i="18"/>
  <c r="O250" i="18" s="1"/>
  <c r="L250" i="21"/>
  <c r="O250" i="21" s="1"/>
  <c r="L290" i="6"/>
  <c r="O290" i="6" s="1"/>
  <c r="L290" i="13"/>
  <c r="O290" i="13" s="1"/>
  <c r="O273" i="11"/>
  <c r="N8" i="4"/>
  <c r="N8" i="21"/>
  <c r="O142" i="5"/>
  <c r="O68" i="2"/>
  <c r="O292" i="11"/>
  <c r="L9" i="12"/>
  <c r="O9" i="12" s="1"/>
  <c r="O331" i="5"/>
  <c r="L310" i="9"/>
  <c r="O310" i="9" s="1"/>
  <c r="O222" i="16"/>
  <c r="O120" i="6"/>
  <c r="L220" i="17"/>
  <c r="O220" i="17" s="1"/>
  <c r="O43" i="4"/>
  <c r="O331" i="20"/>
  <c r="L12" i="7"/>
  <c r="O12" i="7" s="1"/>
  <c r="O22" i="7"/>
  <c r="P68" i="3"/>
  <c r="O331" i="12"/>
  <c r="O292" i="14"/>
  <c r="L66" i="21"/>
  <c r="O66" i="21" s="1"/>
  <c r="O43" i="10"/>
  <c r="L271" i="8"/>
  <c r="O271" i="8" s="1"/>
  <c r="L329" i="13"/>
  <c r="O329" i="13" s="1"/>
  <c r="N8" i="19"/>
  <c r="L220" i="3"/>
  <c r="O220" i="3" s="1"/>
  <c r="M94" i="3"/>
  <c r="P94" i="3" s="1"/>
  <c r="L290" i="3"/>
  <c r="O290" i="3" s="1"/>
  <c r="O34" i="1"/>
  <c r="L250" i="13"/>
  <c r="O250" i="13" s="1"/>
  <c r="O55" i="11"/>
  <c r="L140" i="17"/>
  <c r="O140" i="17" s="1"/>
  <c r="L94" i="15"/>
  <c r="O94" i="15" s="1"/>
  <c r="N8" i="13"/>
  <c r="N8" i="5"/>
  <c r="L140" i="15"/>
  <c r="O140" i="15" s="1"/>
  <c r="O28" i="5"/>
  <c r="L118" i="12"/>
  <c r="O118" i="12" s="1"/>
  <c r="L118" i="18"/>
  <c r="O118" i="18" s="1"/>
  <c r="L329" i="17"/>
  <c r="O329" i="17" s="1"/>
  <c r="L271" i="7"/>
  <c r="O271" i="7" s="1"/>
  <c r="L94" i="20"/>
  <c r="O94" i="20" s="1"/>
  <c r="O28" i="6"/>
  <c r="O55" i="3"/>
  <c r="O222" i="20"/>
  <c r="O220" i="16"/>
  <c r="L41" i="15"/>
  <c r="O41" i="15" s="1"/>
  <c r="O96" i="6"/>
  <c r="L310" i="11"/>
  <c r="O310" i="11" s="1"/>
  <c r="P22" i="1"/>
  <c r="L14" i="1"/>
  <c r="O14" i="1" s="1"/>
  <c r="O120" i="16"/>
  <c r="L140" i="21"/>
  <c r="O140" i="21" s="1"/>
  <c r="L329" i="4"/>
  <c r="O329" i="4" s="1"/>
  <c r="O28" i="7"/>
  <c r="P96" i="7"/>
  <c r="P20" i="20"/>
  <c r="L271" i="5"/>
  <c r="O271" i="5" s="1"/>
  <c r="L20" i="8"/>
  <c r="O20" i="8" s="1"/>
  <c r="O43" i="19"/>
  <c r="N10" i="14"/>
  <c r="N8" i="14" s="1"/>
  <c r="N8" i="17"/>
  <c r="L310" i="19"/>
  <c r="O310" i="19" s="1"/>
  <c r="N290" i="1"/>
  <c r="O55" i="8"/>
  <c r="O312" i="4"/>
  <c r="N8" i="3"/>
  <c r="L290" i="19"/>
  <c r="O290" i="19" s="1"/>
  <c r="P43" i="15"/>
  <c r="N8" i="10"/>
  <c r="L310" i="18"/>
  <c r="O310" i="18" s="1"/>
  <c r="O329" i="2"/>
  <c r="O312" i="8"/>
  <c r="L290" i="18"/>
  <c r="O290" i="18" s="1"/>
  <c r="O292" i="18"/>
  <c r="L20" i="4"/>
  <c r="L18" i="4" s="1"/>
  <c r="O18" i="4" s="1"/>
  <c r="L94" i="9"/>
  <c r="O94" i="9" s="1"/>
  <c r="L140" i="11"/>
  <c r="O140" i="11" s="1"/>
  <c r="L53" i="16"/>
  <c r="O53" i="16" s="1"/>
  <c r="O252" i="15"/>
  <c r="L66" i="13"/>
  <c r="O66" i="13" s="1"/>
  <c r="O271" i="2"/>
  <c r="O14" i="20"/>
  <c r="N8" i="12"/>
  <c r="O22" i="4"/>
  <c r="L12" i="18"/>
  <c r="O12" i="18" s="1"/>
  <c r="N118" i="1"/>
  <c r="L9" i="2"/>
  <c r="O9" i="2" s="1"/>
  <c r="L220" i="19"/>
  <c r="O220" i="19" s="1"/>
  <c r="P96" i="6"/>
  <c r="O22" i="2"/>
  <c r="O68" i="12"/>
  <c r="L118" i="7"/>
  <c r="O118" i="7" s="1"/>
  <c r="O273" i="14"/>
  <c r="O68" i="14"/>
  <c r="L310" i="16"/>
  <c r="O310" i="16" s="1"/>
  <c r="L252" i="1"/>
  <c r="O252" i="1" s="1"/>
  <c r="L66" i="20"/>
  <c r="O66" i="20" s="1"/>
  <c r="L250" i="5"/>
  <c r="O250" i="5" s="1"/>
  <c r="L53" i="20"/>
  <c r="O53" i="20" s="1"/>
  <c r="O252" i="9"/>
  <c r="L250" i="9"/>
  <c r="O250" i="9" s="1"/>
  <c r="L250" i="19"/>
  <c r="O250" i="19" s="1"/>
  <c r="O222" i="14"/>
  <c r="L220" i="14"/>
  <c r="O220" i="14" s="1"/>
  <c r="P12" i="14"/>
  <c r="M68" i="1"/>
  <c r="P68" i="1" s="1"/>
  <c r="M20" i="15"/>
  <c r="P20" i="15" s="1"/>
  <c r="O222" i="9"/>
  <c r="M94" i="21"/>
  <c r="P94" i="21" s="1"/>
  <c r="P20" i="8"/>
  <c r="L20" i="17"/>
  <c r="L18" i="17" s="1"/>
  <c r="O18" i="17" s="1"/>
  <c r="P12" i="7"/>
  <c r="P12" i="13"/>
  <c r="L12" i="17"/>
  <c r="O12" i="17" s="1"/>
  <c r="P96" i="9"/>
  <c r="L53" i="4"/>
  <c r="O53" i="4" s="1"/>
  <c r="P252" i="1"/>
  <c r="L96" i="1"/>
  <c r="O96" i="1" s="1"/>
  <c r="O68" i="16"/>
  <c r="N28" i="1"/>
  <c r="N8" i="18"/>
  <c r="O96" i="13"/>
  <c r="N11" i="1"/>
  <c r="N9" i="1" s="1"/>
  <c r="L41" i="17"/>
  <c r="O41" i="17" s="1"/>
  <c r="N220" i="1"/>
  <c r="L250" i="8"/>
  <c r="O250" i="8" s="1"/>
  <c r="O271" i="14"/>
  <c r="N12" i="1"/>
  <c r="N10" i="1" s="1"/>
  <c r="N8" i="6"/>
  <c r="N37" i="21"/>
  <c r="L140" i="18"/>
  <c r="O140" i="18" s="1"/>
  <c r="O53" i="21"/>
  <c r="L41" i="18"/>
  <c r="O41" i="18" s="1"/>
  <c r="N37" i="14"/>
  <c r="P12" i="5"/>
  <c r="P53" i="21"/>
  <c r="L20" i="18"/>
  <c r="O20" i="18" s="1"/>
  <c r="N8" i="9"/>
  <c r="L9" i="15"/>
  <c r="O9" i="15" s="1"/>
  <c r="O292" i="9"/>
  <c r="N329" i="1"/>
  <c r="L94" i="18"/>
  <c r="O94" i="18" s="1"/>
  <c r="L271" i="9"/>
  <c r="O271" i="9" s="1"/>
  <c r="O273" i="9"/>
  <c r="L140" i="3"/>
  <c r="O140" i="3" s="1"/>
  <c r="N37" i="17"/>
  <c r="P118" i="20"/>
  <c r="O312" i="6"/>
  <c r="O16" i="8"/>
  <c r="L140" i="13"/>
  <c r="O140" i="13" s="1"/>
  <c r="N140" i="1"/>
  <c r="N8" i="20"/>
  <c r="O142" i="7"/>
  <c r="P273" i="1"/>
  <c r="L20" i="2"/>
  <c r="L18" i="2" s="1"/>
  <c r="O68" i="9"/>
  <c r="L329" i="18"/>
  <c r="O329" i="18" s="1"/>
  <c r="L9" i="20"/>
  <c r="O9" i="20" s="1"/>
  <c r="P53" i="13"/>
  <c r="O120" i="14"/>
  <c r="L118" i="14"/>
  <c r="O118" i="14" s="1"/>
  <c r="L9" i="14"/>
  <c r="O9" i="14" s="1"/>
  <c r="L13" i="1"/>
  <c r="O13" i="1" s="1"/>
  <c r="P12" i="21"/>
  <c r="L12" i="8"/>
  <c r="L10" i="8" s="1"/>
  <c r="O331" i="10"/>
  <c r="L329" i="10"/>
  <c r="O329" i="10" s="1"/>
  <c r="L12" i="11"/>
  <c r="O12" i="11" s="1"/>
  <c r="P26" i="10"/>
  <c r="L140" i="10"/>
  <c r="O140" i="10" s="1"/>
  <c r="L28" i="20"/>
  <c r="O28" i="20" s="1"/>
  <c r="L329" i="11"/>
  <c r="O329" i="11" s="1"/>
  <c r="M310" i="1"/>
  <c r="P310" i="1" s="1"/>
  <c r="N8" i="11"/>
  <c r="O22" i="11"/>
  <c r="N37" i="15"/>
  <c r="O329" i="21"/>
  <c r="M331" i="1"/>
  <c r="P331" i="1" s="1"/>
  <c r="O14" i="9"/>
  <c r="P292" i="1"/>
  <c r="M20" i="10"/>
  <c r="P20" i="10" s="1"/>
  <c r="L142" i="1"/>
  <c r="O142" i="1" s="1"/>
  <c r="O96" i="14"/>
  <c r="L94" i="14"/>
  <c r="O94" i="14" s="1"/>
  <c r="O28" i="12"/>
  <c r="M329" i="10"/>
  <c r="P329" i="10" s="1"/>
  <c r="M12" i="1"/>
  <c r="N37" i="4"/>
  <c r="O16" i="14"/>
  <c r="O120" i="13"/>
  <c r="L118" i="13"/>
  <c r="O118" i="13" s="1"/>
  <c r="M20" i="5"/>
  <c r="P20" i="5" s="1"/>
  <c r="L12" i="9"/>
  <c r="O12" i="9" s="1"/>
  <c r="O29" i="20"/>
  <c r="O53" i="13"/>
  <c r="L310" i="20"/>
  <c r="O310" i="20" s="1"/>
  <c r="O312" i="20"/>
  <c r="N10" i="15"/>
  <c r="N8" i="15" s="1"/>
  <c r="P12" i="15"/>
  <c r="O68" i="8"/>
  <c r="L66" i="8"/>
  <c r="O66" i="8" s="1"/>
  <c r="L12" i="3"/>
  <c r="O12" i="3" s="1"/>
  <c r="O22" i="9"/>
  <c r="P140" i="4"/>
  <c r="O68" i="15"/>
  <c r="L66" i="15"/>
  <c r="O66" i="15" s="1"/>
  <c r="M96" i="1"/>
  <c r="P96" i="1" s="1"/>
  <c r="O22" i="3"/>
  <c r="P312" i="1"/>
  <c r="M16" i="5"/>
  <c r="P16" i="5" s="1"/>
  <c r="P12" i="12"/>
  <c r="M290" i="1"/>
  <c r="L222" i="1"/>
  <c r="O222" i="1" s="1"/>
  <c r="L118" i="8"/>
  <c r="O118" i="8" s="1"/>
  <c r="L310" i="15"/>
  <c r="O310" i="15" s="1"/>
  <c r="O312" i="15"/>
  <c r="P220" i="16"/>
  <c r="P12" i="18"/>
  <c r="O18" i="11"/>
  <c r="L140" i="19"/>
  <c r="O140" i="19" s="1"/>
  <c r="O142" i="19"/>
  <c r="M16" i="20"/>
  <c r="P16" i="20" s="1"/>
  <c r="P26" i="20"/>
  <c r="O11" i="19"/>
  <c r="L9" i="19"/>
  <c r="O9" i="19" s="1"/>
  <c r="O312" i="5"/>
  <c r="L310" i="5"/>
  <c r="O310" i="5" s="1"/>
  <c r="O11" i="17"/>
  <c r="L9" i="17"/>
  <c r="O9" i="17" s="1"/>
  <c r="L28" i="16"/>
  <c r="O28" i="16" s="1"/>
  <c r="O14" i="17"/>
  <c r="L12" i="14"/>
  <c r="O12" i="14" s="1"/>
  <c r="O29" i="11"/>
  <c r="L28" i="11"/>
  <c r="O28" i="11" s="1"/>
  <c r="O55" i="17"/>
  <c r="L53" i="17"/>
  <c r="O53" i="17" s="1"/>
  <c r="O22" i="14"/>
  <c r="L220" i="11"/>
  <c r="O220" i="11" s="1"/>
  <c r="O222" i="11"/>
  <c r="O11" i="18"/>
  <c r="L9" i="18"/>
  <c r="O9" i="18" s="1"/>
  <c r="O29" i="21"/>
  <c r="L28" i="21"/>
  <c r="O28" i="21" s="1"/>
  <c r="O222" i="8"/>
  <c r="L220" i="8"/>
  <c r="O220" i="8" s="1"/>
  <c r="O53" i="6"/>
  <c r="L312" i="1"/>
  <c r="O312" i="1" s="1"/>
  <c r="O292" i="20"/>
  <c r="L290" i="20"/>
  <c r="O290" i="20" s="1"/>
  <c r="O43" i="11"/>
  <c r="L41" i="11"/>
  <c r="O41" i="11" s="1"/>
  <c r="L28" i="18"/>
  <c r="O28" i="18" s="1"/>
  <c r="O29" i="18"/>
  <c r="O292" i="21"/>
  <c r="L290" i="21"/>
  <c r="O290" i="21" s="1"/>
  <c r="O32" i="1"/>
  <c r="L30" i="1"/>
  <c r="O30" i="1" s="1"/>
  <c r="N66" i="1"/>
  <c r="L120" i="1"/>
  <c r="O120" i="1" s="1"/>
  <c r="O16" i="1"/>
  <c r="L9" i="8"/>
  <c r="O9" i="8" s="1"/>
  <c r="O11" i="8"/>
  <c r="O142" i="12"/>
  <c r="L140" i="12"/>
  <c r="O140" i="12" s="1"/>
  <c r="O68" i="19"/>
  <c r="L66" i="19"/>
  <c r="O66" i="19" s="1"/>
  <c r="O120" i="5"/>
  <c r="L118" i="5"/>
  <c r="O118" i="5" s="1"/>
  <c r="P140" i="20"/>
  <c r="N8" i="16"/>
  <c r="O26" i="1"/>
  <c r="O29" i="8"/>
  <c r="L28" i="8"/>
  <c r="O28" i="8" s="1"/>
  <c r="O273" i="15"/>
  <c r="L271" i="15"/>
  <c r="O271" i="15" s="1"/>
  <c r="O68" i="17"/>
  <c r="L66" i="17"/>
  <c r="O66" i="17" s="1"/>
  <c r="P20" i="16"/>
  <c r="M18" i="16"/>
  <c r="P18" i="16" s="1"/>
  <c r="O68" i="10"/>
  <c r="L66" i="10"/>
  <c r="O66" i="10" s="1"/>
  <c r="P12" i="20"/>
  <c r="P20" i="19"/>
  <c r="M18" i="19"/>
  <c r="P18" i="19" s="1"/>
  <c r="O22" i="5"/>
  <c r="L12" i="5"/>
  <c r="L20" i="5"/>
  <c r="P41" i="11"/>
  <c r="M37" i="11"/>
  <c r="P37" i="11" s="1"/>
  <c r="P26" i="13"/>
  <c r="M16" i="13"/>
  <c r="M20" i="13"/>
  <c r="P53" i="18"/>
  <c r="N37" i="18"/>
  <c r="P26" i="21"/>
  <c r="M16" i="21"/>
  <c r="M20" i="21"/>
  <c r="M271" i="1"/>
  <c r="P9" i="2"/>
  <c r="P140" i="2"/>
  <c r="M140" i="1"/>
  <c r="O120" i="15"/>
  <c r="L118" i="15"/>
  <c r="O118" i="15" s="1"/>
  <c r="P331" i="19"/>
  <c r="M329" i="19"/>
  <c r="P329" i="19" s="1"/>
  <c r="P9" i="1"/>
  <c r="P140" i="7"/>
  <c r="M37" i="9"/>
  <c r="P37" i="9" s="1"/>
  <c r="N37" i="10"/>
  <c r="M37" i="8"/>
  <c r="P37" i="8" s="1"/>
  <c r="O142" i="14"/>
  <c r="L140" i="14"/>
  <c r="O140" i="14" s="1"/>
  <c r="L220" i="21"/>
  <c r="O220" i="21" s="1"/>
  <c r="O222" i="21"/>
  <c r="P12" i="2"/>
  <c r="P222" i="1"/>
  <c r="L10" i="2"/>
  <c r="O10" i="2" s="1"/>
  <c r="O12" i="2"/>
  <c r="N10" i="8"/>
  <c r="N8" i="8" s="1"/>
  <c r="P16" i="8"/>
  <c r="M10" i="10"/>
  <c r="P12" i="10"/>
  <c r="N20" i="1"/>
  <c r="N18" i="1" s="1"/>
  <c r="O22" i="15"/>
  <c r="L12" i="15"/>
  <c r="L20" i="15"/>
  <c r="O30" i="19"/>
  <c r="L28" i="19"/>
  <c r="O28" i="19" s="1"/>
  <c r="O20" i="3"/>
  <c r="L18" i="3"/>
  <c r="O18" i="3" s="1"/>
  <c r="M10" i="8"/>
  <c r="P12" i="8"/>
  <c r="P9" i="13"/>
  <c r="O292" i="17"/>
  <c r="L290" i="17"/>
  <c r="O290" i="17" s="1"/>
  <c r="P41" i="21"/>
  <c r="O29" i="9"/>
  <c r="L28" i="9"/>
  <c r="O28" i="9" s="1"/>
  <c r="P41" i="19"/>
  <c r="N37" i="20"/>
  <c r="O12" i="4"/>
  <c r="L10" i="4"/>
  <c r="O10" i="4" s="1"/>
  <c r="P20" i="11"/>
  <c r="M18" i="11"/>
  <c r="P18" i="11" s="1"/>
  <c r="O41" i="19"/>
  <c r="O9" i="6"/>
  <c r="O29" i="3"/>
  <c r="L28" i="3"/>
  <c r="O28" i="3" s="1"/>
  <c r="P331" i="3"/>
  <c r="M329" i="3"/>
  <c r="P329" i="3" s="1"/>
  <c r="M37" i="5"/>
  <c r="P41" i="5"/>
  <c r="P96" i="13"/>
  <c r="M94" i="13"/>
  <c r="P12" i="17"/>
  <c r="L68" i="1"/>
  <c r="O68" i="1" s="1"/>
  <c r="P26" i="6"/>
  <c r="M16" i="6"/>
  <c r="M20" i="6"/>
  <c r="O222" i="15"/>
  <c r="L220" i="15"/>
  <c r="O220" i="15" s="1"/>
  <c r="P41" i="2"/>
  <c r="M37" i="2"/>
  <c r="P331" i="12"/>
  <c r="M329" i="12"/>
  <c r="O43" i="21"/>
  <c r="L41" i="21"/>
  <c r="O19" i="1"/>
  <c r="M10" i="11"/>
  <c r="P12" i="11"/>
  <c r="O22" i="20"/>
  <c r="L12" i="20"/>
  <c r="L20" i="20"/>
  <c r="P250" i="20"/>
  <c r="P49" i="1"/>
  <c r="M26" i="1"/>
  <c r="M43" i="1"/>
  <c r="P271" i="14"/>
  <c r="M18" i="20"/>
  <c r="P18" i="20" s="1"/>
  <c r="P120" i="1"/>
  <c r="P26" i="19"/>
  <c r="M16" i="19"/>
  <c r="P16" i="19" s="1"/>
  <c r="O66" i="2"/>
  <c r="O222" i="6"/>
  <c r="L220" i="6"/>
  <c r="O220" i="6" s="1"/>
  <c r="O273" i="10"/>
  <c r="L271" i="10"/>
  <c r="O271" i="10" s="1"/>
  <c r="N37" i="2"/>
  <c r="O57" i="1"/>
  <c r="L55" i="1"/>
  <c r="O41" i="4"/>
  <c r="P41" i="15"/>
  <c r="P9" i="16"/>
  <c r="O22" i="19"/>
  <c r="L12" i="19"/>
  <c r="L20" i="19"/>
  <c r="O310" i="2"/>
  <c r="L220" i="5"/>
  <c r="O220" i="5" s="1"/>
  <c r="O222" i="5"/>
  <c r="O331" i="9"/>
  <c r="L329" i="9"/>
  <c r="P9" i="15"/>
  <c r="P12" i="9"/>
  <c r="M10" i="9"/>
  <c r="O20" i="9"/>
  <c r="L18" i="9"/>
  <c r="O18" i="9" s="1"/>
  <c r="P41" i="17"/>
  <c r="O250" i="2"/>
  <c r="P329" i="2"/>
  <c r="O11" i="1"/>
  <c r="L9" i="1"/>
  <c r="P41" i="4"/>
  <c r="M37" i="4"/>
  <c r="L41" i="13"/>
  <c r="O43" i="13"/>
  <c r="M37" i="20"/>
  <c r="N18" i="2"/>
  <c r="P18" i="2" s="1"/>
  <c r="P250" i="2"/>
  <c r="M250" i="1"/>
  <c r="O222" i="18"/>
  <c r="L220" i="18"/>
  <c r="O220" i="18" s="1"/>
  <c r="O43" i="20"/>
  <c r="L41" i="20"/>
  <c r="P26" i="4"/>
  <c r="M16" i="4"/>
  <c r="P16" i="4" s="1"/>
  <c r="N271" i="1"/>
  <c r="O43" i="6"/>
  <c r="L41" i="6"/>
  <c r="O220" i="2"/>
  <c r="O118" i="2"/>
  <c r="O30" i="17"/>
  <c r="L28" i="17"/>
  <c r="O28" i="17" s="1"/>
  <c r="N37" i="7"/>
  <c r="M94" i="15"/>
  <c r="P94" i="15" s="1"/>
  <c r="P96" i="15"/>
  <c r="O9" i="3"/>
  <c r="L20" i="21"/>
  <c r="O22" i="21"/>
  <c r="L12" i="21"/>
  <c r="O9" i="4"/>
  <c r="P9" i="3"/>
  <c r="O331" i="16"/>
  <c r="L329" i="16"/>
  <c r="O329" i="16" s="1"/>
  <c r="P331" i="17"/>
  <c r="M329" i="17"/>
  <c r="P329" i="17" s="1"/>
  <c r="M18" i="8"/>
  <c r="P18" i="8" s="1"/>
  <c r="O41" i="9"/>
  <c r="O29" i="13"/>
  <c r="L28" i="13"/>
  <c r="O28" i="13" s="1"/>
  <c r="O68" i="18"/>
  <c r="L66" i="18"/>
  <c r="O66" i="18" s="1"/>
  <c r="M16" i="17"/>
  <c r="P26" i="17"/>
  <c r="M20" i="17"/>
  <c r="P55" i="1"/>
  <c r="N53" i="1"/>
  <c r="O22" i="6"/>
  <c r="L12" i="6"/>
  <c r="L20" i="6"/>
  <c r="P12" i="3"/>
  <c r="M37" i="18"/>
  <c r="N250" i="1"/>
  <c r="P18" i="7"/>
  <c r="L41" i="16"/>
  <c r="O43" i="16"/>
  <c r="O45" i="1"/>
  <c r="L22" i="1"/>
  <c r="L43" i="1"/>
  <c r="P20" i="9"/>
  <c r="M18" i="9"/>
  <c r="P18" i="9" s="1"/>
  <c r="P9" i="7"/>
  <c r="O30" i="14"/>
  <c r="L28" i="14"/>
  <c r="O28" i="14" s="1"/>
  <c r="L292" i="1"/>
  <c r="O292" i="1" s="1"/>
  <c r="P53" i="6"/>
  <c r="N37" i="6"/>
  <c r="O140" i="7"/>
  <c r="L20" i="13"/>
  <c r="O22" i="13"/>
  <c r="L12" i="13"/>
  <c r="P26" i="14"/>
  <c r="M16" i="14"/>
  <c r="M20" i="14"/>
  <c r="O9" i="11"/>
  <c r="L29" i="1"/>
  <c r="O31" i="1"/>
  <c r="P9" i="5"/>
  <c r="P26" i="3"/>
  <c r="M16" i="3"/>
  <c r="P16" i="3" s="1"/>
  <c r="O142" i="4"/>
  <c r="L140" i="4"/>
  <c r="O41" i="8"/>
  <c r="P9" i="14"/>
  <c r="P20" i="7"/>
  <c r="P12" i="4"/>
  <c r="O22" i="16"/>
  <c r="L12" i="16"/>
  <c r="L20" i="16"/>
  <c r="O331" i="19"/>
  <c r="L329" i="19"/>
  <c r="O329" i="19" s="1"/>
  <c r="O120" i="11"/>
  <c r="L118" i="11"/>
  <c r="O118" i="11" s="1"/>
  <c r="L331" i="1"/>
  <c r="O331" i="1" s="1"/>
  <c r="P20" i="4"/>
  <c r="O11" i="10"/>
  <c r="L9" i="10"/>
  <c r="O53" i="2"/>
  <c r="L18" i="7"/>
  <c r="O18" i="7" s="1"/>
  <c r="O20" i="7"/>
  <c r="O9" i="7"/>
  <c r="L9" i="13"/>
  <c r="O11" i="13"/>
  <c r="O273" i="4"/>
  <c r="L271" i="4"/>
  <c r="O43" i="5"/>
  <c r="L41" i="5"/>
  <c r="L20" i="10"/>
  <c r="O22" i="10"/>
  <c r="L12" i="10"/>
  <c r="O9" i="9"/>
  <c r="P43" i="13"/>
  <c r="M41" i="13"/>
  <c r="O53" i="18"/>
  <c r="P9" i="8"/>
  <c r="M37" i="14"/>
  <c r="P41" i="14"/>
  <c r="O252" i="14"/>
  <c r="L250" i="14"/>
  <c r="O250" i="14" s="1"/>
  <c r="P9" i="20"/>
  <c r="M16" i="16"/>
  <c r="P16" i="16" s="1"/>
  <c r="P26" i="16"/>
  <c r="O55" i="14"/>
  <c r="L53" i="14"/>
  <c r="M118" i="1"/>
  <c r="M20" i="3"/>
  <c r="O29" i="10"/>
  <c r="L28" i="10"/>
  <c r="O28" i="10" s="1"/>
  <c r="O120" i="10"/>
  <c r="L118" i="10"/>
  <c r="O118" i="10" s="1"/>
  <c r="P12" i="16"/>
  <c r="O29" i="4"/>
  <c r="L28" i="4"/>
  <c r="O28" i="4" s="1"/>
  <c r="L20" i="12"/>
  <c r="O22" i="12"/>
  <c r="L12" i="12"/>
  <c r="P26" i="12"/>
  <c r="M16" i="12"/>
  <c r="M20" i="12"/>
  <c r="P26" i="18"/>
  <c r="M16" i="18"/>
  <c r="M20" i="18"/>
  <c r="O9" i="21"/>
  <c r="P43" i="6"/>
  <c r="M41" i="6"/>
  <c r="L28" i="15"/>
  <c r="O28" i="15" s="1"/>
  <c r="O30" i="15"/>
  <c r="P12" i="19"/>
  <c r="M66" i="1"/>
  <c r="P142" i="1"/>
  <c r="O20" i="11"/>
  <c r="O120" i="3"/>
  <c r="L118" i="3"/>
  <c r="O14" i="4"/>
  <c r="O55" i="10"/>
  <c r="L53" i="10"/>
  <c r="O55" i="15"/>
  <c r="L53" i="15"/>
  <c r="O53" i="15" s="1"/>
  <c r="P331" i="16"/>
  <c r="M329" i="16"/>
  <c r="M220" i="1"/>
  <c r="M18" i="4"/>
  <c r="P18" i="4" s="1"/>
  <c r="P9" i="17"/>
  <c r="M10" i="2"/>
  <c r="P10" i="2" s="1"/>
  <c r="L220" i="13"/>
  <c r="O220" i="13" s="1"/>
  <c r="O222" i="13"/>
  <c r="P118" i="2"/>
  <c r="L273" i="1"/>
  <c r="O273" i="1" s="1"/>
  <c r="O273" i="12"/>
  <c r="L271" i="12"/>
  <c r="O20" i="14"/>
  <c r="L18" i="14"/>
  <c r="O18" i="14" s="1"/>
  <c r="P41" i="7" l="1"/>
  <c r="M10" i="7"/>
  <c r="P10" i="7" s="1"/>
  <c r="O290" i="2"/>
  <c r="M10" i="15"/>
  <c r="P10" i="15" s="1"/>
  <c r="O12" i="8"/>
  <c r="L10" i="7"/>
  <c r="O10" i="7" s="1"/>
  <c r="P37" i="5"/>
  <c r="P220" i="1"/>
  <c r="L18" i="8"/>
  <c r="O18" i="8" s="1"/>
  <c r="M37" i="10"/>
  <c r="P37" i="10" s="1"/>
  <c r="M18" i="10"/>
  <c r="P18" i="10" s="1"/>
  <c r="L10" i="18"/>
  <c r="L8" i="18" s="1"/>
  <c r="O8" i="18" s="1"/>
  <c r="M37" i="21"/>
  <c r="P37" i="21" s="1"/>
  <c r="L10" i="17"/>
  <c r="O10" i="17" s="1"/>
  <c r="L10" i="14"/>
  <c r="O10" i="14" s="1"/>
  <c r="L10" i="3"/>
  <c r="O10" i="3" s="1"/>
  <c r="O20" i="4"/>
  <c r="L18" i="18"/>
  <c r="O18" i="18" s="1"/>
  <c r="P290" i="1"/>
  <c r="P118" i="1"/>
  <c r="P37" i="14"/>
  <c r="O20" i="17"/>
  <c r="L37" i="7"/>
  <c r="O37" i="7" s="1"/>
  <c r="M18" i="15"/>
  <c r="P18" i="15" s="1"/>
  <c r="O20" i="2"/>
  <c r="L10" i="11"/>
  <c r="P12" i="1"/>
  <c r="L10" i="9"/>
  <c r="O10" i="9" s="1"/>
  <c r="P10" i="8"/>
  <c r="N8" i="1"/>
  <c r="P66" i="1"/>
  <c r="P37" i="18"/>
  <c r="M10" i="20"/>
  <c r="M18" i="5"/>
  <c r="P18" i="5" s="1"/>
  <c r="M10" i="4"/>
  <c r="M8" i="4" s="1"/>
  <c r="P8" i="4" s="1"/>
  <c r="O37" i="2"/>
  <c r="L37" i="9"/>
  <c r="O37" i="9" s="1"/>
  <c r="L94" i="1"/>
  <c r="O94" i="1" s="1"/>
  <c r="P140" i="1"/>
  <c r="P37" i="4"/>
  <c r="L290" i="1"/>
  <c r="O290" i="1" s="1"/>
  <c r="M10" i="5"/>
  <c r="L310" i="1"/>
  <c r="O310" i="1" s="1"/>
  <c r="P37" i="7"/>
  <c r="M8" i="8"/>
  <c r="P8" i="8" s="1"/>
  <c r="P37" i="20"/>
  <c r="L37" i="8"/>
  <c r="O37" i="8" s="1"/>
  <c r="L8" i="4"/>
  <c r="O8" i="4" s="1"/>
  <c r="M10" i="16"/>
  <c r="P10" i="16" s="1"/>
  <c r="L37" i="4"/>
  <c r="O37" i="4" s="1"/>
  <c r="L37" i="17"/>
  <c r="O37" i="17" s="1"/>
  <c r="M37" i="19"/>
  <c r="P37" i="19" s="1"/>
  <c r="L37" i="11"/>
  <c r="O37" i="11" s="1"/>
  <c r="M37" i="3"/>
  <c r="P37" i="3" s="1"/>
  <c r="L220" i="1"/>
  <c r="O220" i="1" s="1"/>
  <c r="O41" i="5"/>
  <c r="L37" i="5"/>
  <c r="O37" i="5" s="1"/>
  <c r="O41" i="6"/>
  <c r="L37" i="6"/>
  <c r="O37" i="6" s="1"/>
  <c r="M37" i="17"/>
  <c r="P37" i="17" s="1"/>
  <c r="M41" i="1"/>
  <c r="P43" i="1"/>
  <c r="P10" i="11"/>
  <c r="M8" i="11"/>
  <c r="P8" i="11" s="1"/>
  <c r="P329" i="12"/>
  <c r="M37" i="12"/>
  <c r="P37" i="12" s="1"/>
  <c r="P94" i="13"/>
  <c r="M94" i="1"/>
  <c r="P94" i="1" s="1"/>
  <c r="O20" i="5"/>
  <c r="L18" i="5"/>
  <c r="O18" i="5" s="1"/>
  <c r="O10" i="8"/>
  <c r="L8" i="8"/>
  <c r="O8" i="8" s="1"/>
  <c r="O118" i="3"/>
  <c r="L118" i="1"/>
  <c r="O118" i="1" s="1"/>
  <c r="P20" i="14"/>
  <c r="M18" i="14"/>
  <c r="P18" i="14" s="1"/>
  <c r="P20" i="17"/>
  <c r="M18" i="17"/>
  <c r="P18" i="17" s="1"/>
  <c r="O20" i="19"/>
  <c r="L18" i="19"/>
  <c r="O18" i="19" s="1"/>
  <c r="M16" i="1"/>
  <c r="P26" i="1"/>
  <c r="M20" i="1"/>
  <c r="O12" i="5"/>
  <c r="L10" i="5"/>
  <c r="O271" i="12"/>
  <c r="L37" i="12"/>
  <c r="O37" i="12" s="1"/>
  <c r="P41" i="13"/>
  <c r="M37" i="13"/>
  <c r="P37" i="13" s="1"/>
  <c r="P329" i="16"/>
  <c r="M37" i="16"/>
  <c r="P37" i="16" s="1"/>
  <c r="O271" i="4"/>
  <c r="L271" i="1"/>
  <c r="O271" i="1" s="1"/>
  <c r="P16" i="14"/>
  <c r="M10" i="14"/>
  <c r="M10" i="3"/>
  <c r="P250" i="1"/>
  <c r="O9" i="1"/>
  <c r="L10" i="19"/>
  <c r="O12" i="19"/>
  <c r="O55" i="1"/>
  <c r="L53" i="1"/>
  <c r="O53" i="1" s="1"/>
  <c r="P37" i="2"/>
  <c r="L37" i="19"/>
  <c r="O37" i="19" s="1"/>
  <c r="L37" i="15"/>
  <c r="O37" i="15" s="1"/>
  <c r="N37" i="1"/>
  <c r="P53" i="1"/>
  <c r="O53" i="14"/>
  <c r="L37" i="14"/>
  <c r="O37" i="14" s="1"/>
  <c r="M10" i="19"/>
  <c r="P20" i="18"/>
  <c r="M18" i="18"/>
  <c r="P18" i="18" s="1"/>
  <c r="O20" i="12"/>
  <c r="L18" i="12"/>
  <c r="O18" i="12" s="1"/>
  <c r="P16" i="17"/>
  <c r="M10" i="17"/>
  <c r="O329" i="9"/>
  <c r="L329" i="1"/>
  <c r="O329" i="1" s="1"/>
  <c r="O18" i="2"/>
  <c r="P20" i="6"/>
  <c r="M18" i="6"/>
  <c r="P18" i="6" s="1"/>
  <c r="M8" i="10"/>
  <c r="P8" i="10" s="1"/>
  <c r="P10" i="10"/>
  <c r="M8" i="2"/>
  <c r="P8" i="2" s="1"/>
  <c r="M18" i="13"/>
  <c r="P18" i="13" s="1"/>
  <c r="P20" i="13"/>
  <c r="P16" i="12"/>
  <c r="M10" i="12"/>
  <c r="P16" i="18"/>
  <c r="M10" i="18"/>
  <c r="O9" i="10"/>
  <c r="O12" i="13"/>
  <c r="L10" i="13"/>
  <c r="O10" i="13" s="1"/>
  <c r="O41" i="16"/>
  <c r="L37" i="16"/>
  <c r="O37" i="16" s="1"/>
  <c r="O20" i="6"/>
  <c r="L18" i="6"/>
  <c r="O18" i="6" s="1"/>
  <c r="L37" i="18"/>
  <c r="O37" i="18" s="1"/>
  <c r="P10" i="9"/>
  <c r="M8" i="9"/>
  <c r="P8" i="9" s="1"/>
  <c r="O20" i="20"/>
  <c r="L18" i="20"/>
  <c r="O18" i="20" s="1"/>
  <c r="O41" i="21"/>
  <c r="L37" i="21"/>
  <c r="O37" i="21" s="1"/>
  <c r="P16" i="6"/>
  <c r="M10" i="6"/>
  <c r="P16" i="13"/>
  <c r="M10" i="13"/>
  <c r="P20" i="3"/>
  <c r="M18" i="3"/>
  <c r="P18" i="3" s="1"/>
  <c r="L10" i="16"/>
  <c r="O12" i="16"/>
  <c r="O41" i="13"/>
  <c r="L37" i="13"/>
  <c r="O37" i="13" s="1"/>
  <c r="L10" i="15"/>
  <c r="O12" i="15"/>
  <c r="P16" i="21"/>
  <c r="M10" i="21"/>
  <c r="O12" i="12"/>
  <c r="L10" i="12"/>
  <c r="P41" i="6"/>
  <c r="M37" i="6"/>
  <c r="P37" i="6" s="1"/>
  <c r="O12" i="10"/>
  <c r="L10" i="10"/>
  <c r="O10" i="10" s="1"/>
  <c r="O9" i="13"/>
  <c r="O29" i="1"/>
  <c r="L28" i="1"/>
  <c r="O28" i="1" s="1"/>
  <c r="O43" i="1"/>
  <c r="L41" i="1"/>
  <c r="L10" i="6"/>
  <c r="O12" i="6"/>
  <c r="O12" i="21"/>
  <c r="L10" i="21"/>
  <c r="L37" i="20"/>
  <c r="O37" i="20" s="1"/>
  <c r="O41" i="20"/>
  <c r="M329" i="1"/>
  <c r="P329" i="1" s="1"/>
  <c r="L66" i="1"/>
  <c r="O66" i="1" s="1"/>
  <c r="L10" i="20"/>
  <c r="O12" i="20"/>
  <c r="P271" i="1"/>
  <c r="O20" i="10"/>
  <c r="L18" i="10"/>
  <c r="O18" i="10" s="1"/>
  <c r="O20" i="21"/>
  <c r="L18" i="21"/>
  <c r="O18" i="21" s="1"/>
  <c r="O53" i="10"/>
  <c r="L37" i="10"/>
  <c r="O37" i="10" s="1"/>
  <c r="P20" i="12"/>
  <c r="M18" i="12"/>
  <c r="P18" i="12" s="1"/>
  <c r="L37" i="3"/>
  <c r="O37" i="3" s="1"/>
  <c r="O20" i="16"/>
  <c r="L18" i="16"/>
  <c r="O18" i="16" s="1"/>
  <c r="O140" i="4"/>
  <c r="L140" i="1"/>
  <c r="O140" i="1" s="1"/>
  <c r="O20" i="13"/>
  <c r="L18" i="13"/>
  <c r="O18" i="13" s="1"/>
  <c r="L20" i="1"/>
  <c r="O22" i="1"/>
  <c r="L12" i="1"/>
  <c r="L250" i="1"/>
  <c r="O250" i="1" s="1"/>
  <c r="L8" i="2"/>
  <c r="O8" i="2" s="1"/>
  <c r="M37" i="15"/>
  <c r="P37" i="15" s="1"/>
  <c r="O20" i="15"/>
  <c r="L18" i="15"/>
  <c r="O18" i="15" s="1"/>
  <c r="P20" i="21"/>
  <c r="M18" i="21"/>
  <c r="P18" i="21" s="1"/>
  <c r="O10" i="18" l="1"/>
  <c r="M8" i="7"/>
  <c r="P8" i="7" s="1"/>
  <c r="L8" i="7"/>
  <c r="O8" i="7" s="1"/>
  <c r="M8" i="15"/>
  <c r="P8" i="15" s="1"/>
  <c r="L8" i="17"/>
  <c r="O8" i="17" s="1"/>
  <c r="L8" i="3"/>
  <c r="O8" i="3" s="1"/>
  <c r="L8" i="14"/>
  <c r="O8" i="14" s="1"/>
  <c r="P10" i="4"/>
  <c r="L8" i="9"/>
  <c r="O8" i="9" s="1"/>
  <c r="O10" i="11"/>
  <c r="L8" i="11"/>
  <c r="O8" i="11" s="1"/>
  <c r="M8" i="16"/>
  <c r="P8" i="16" s="1"/>
  <c r="P10" i="20"/>
  <c r="M8" i="20"/>
  <c r="P8" i="20" s="1"/>
  <c r="P10" i="5"/>
  <c r="M8" i="5"/>
  <c r="P8" i="5" s="1"/>
  <c r="L8" i="10"/>
  <c r="O8" i="10" s="1"/>
  <c r="O10" i="6"/>
  <c r="L8" i="6"/>
  <c r="O8" i="6" s="1"/>
  <c r="P10" i="18"/>
  <c r="M8" i="18"/>
  <c r="P8" i="18" s="1"/>
  <c r="O10" i="19"/>
  <c r="L8" i="19"/>
  <c r="O8" i="19" s="1"/>
  <c r="O10" i="5"/>
  <c r="L8" i="5"/>
  <c r="O8" i="5" s="1"/>
  <c r="P41" i="1"/>
  <c r="M37" i="1"/>
  <c r="P37" i="1" s="1"/>
  <c r="O41" i="1"/>
  <c r="L37" i="1"/>
  <c r="O37" i="1" s="1"/>
  <c r="P10" i="6"/>
  <c r="M8" i="6"/>
  <c r="P8" i="6" s="1"/>
  <c r="P10" i="14"/>
  <c r="M8" i="14"/>
  <c r="P8" i="14" s="1"/>
  <c r="O10" i="16"/>
  <c r="L8" i="16"/>
  <c r="O8" i="16" s="1"/>
  <c r="P10" i="12"/>
  <c r="M8" i="12"/>
  <c r="P8" i="12" s="1"/>
  <c r="O20" i="1"/>
  <c r="L18" i="1"/>
  <c r="O18" i="1" s="1"/>
  <c r="O10" i="21"/>
  <c r="L8" i="21"/>
  <c r="O8" i="21" s="1"/>
  <c r="L8" i="13"/>
  <c r="O8" i="13" s="1"/>
  <c r="P10" i="21"/>
  <c r="M8" i="21"/>
  <c r="P8" i="21" s="1"/>
  <c r="P20" i="1"/>
  <c r="M18" i="1"/>
  <c r="P18" i="1" s="1"/>
  <c r="P10" i="17"/>
  <c r="M8" i="17"/>
  <c r="P8" i="17" s="1"/>
  <c r="L10" i="1"/>
  <c r="O12" i="1"/>
  <c r="O10" i="12"/>
  <c r="L8" i="12"/>
  <c r="O8" i="12" s="1"/>
  <c r="O10" i="15"/>
  <c r="L8" i="15"/>
  <c r="O8" i="15" s="1"/>
  <c r="O10" i="20"/>
  <c r="L8" i="20"/>
  <c r="O8" i="20" s="1"/>
  <c r="P10" i="13"/>
  <c r="M8" i="13"/>
  <c r="P8" i="13" s="1"/>
  <c r="P10" i="19"/>
  <c r="M8" i="19"/>
  <c r="P8" i="19" s="1"/>
  <c r="P10" i="3"/>
  <c r="M8" i="3"/>
  <c r="P8" i="3" s="1"/>
  <c r="P16" i="1"/>
  <c r="M10" i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<sst xmlns="http://schemas.openxmlformats.org/spreadsheetml/2006/main" count="26250" uniqueCount="279">
  <si>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</si>
  <si>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</si>
  <si>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</si>
  <si>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</si>
  <si>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</si>
  <si>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</si>
  <si>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</si>
  <si>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</si>
  <si>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</si>
  <si>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</si>
  <si>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</si>
  <si>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</si>
  <si>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</si>
  <si>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</si>
  <si>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</si>
  <si>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</si>
  <si>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</si>
  <si>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</si>
  <si>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</si>
  <si>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</si>
  <si>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</si>
  <si>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</si>
  <si>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</si>
  <si>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</si>
  <si>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</si>
  <si>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</si>
  <si>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</si>
  <si>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</si>
  <si>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</si>
  <si>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</si>
  <si>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</si>
  <si>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</si>
  <si>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</si>
  <si>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</si>
  <si>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</si>
  <si>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</si>
  <si>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</si>
  <si>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</si>
  <si>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</si>
  <si>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</si>
  <si>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</si>
  <si>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</si>
  <si>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</si>
  <si>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</si>
  <si>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</si>
  <si>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</si>
  <si>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</si>
  <si>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</si>
  <si>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</si>
  <si>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</si>
  <si>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</si>
  <si>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</si>
  <si>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</si>
  <si>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</si>
  <si>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</si>
  <si>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</si>
  <si>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</si>
  <si>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</si>
  <si>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</si>
  <si>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</si>
  <si>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</si>
  <si>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</si>
  <si>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</si>
  <si>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</si>
  <si>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</si>
  <si>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</si>
  <si>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</si>
  <si>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</si>
  <si>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</si>
  <si>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</si>
  <si>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</si>
  <si>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</si>
  <si>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</si>
  <si>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</si>
  <si>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</si>
  <si>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</si>
  <si>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</si>
  <si>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</si>
  <si>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</si>
  <si>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</si>
  <si>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</si>
  <si>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</si>
  <si>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</si>
  <si>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</si>
  <si>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</si>
  <si>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</si>
  <si>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</si>
  <si>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</si>
  <si>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</si>
  <si>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</si>
  <si>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</si>
  <si>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</si>
  <si>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</si>
  <si>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</si>
  <si>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</si>
  <si>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</si>
  <si>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</si>
  <si>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</si>
  <si>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</si>
  <si>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</si>
  <si>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</si>
  <si>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</si>
  <si>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</si>
  <si>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</si>
  <si>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</si>
  <si>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</si>
  <si>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</si>
  <si>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</si>
  <si>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</si>
  <si>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</si>
  <si>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</si>
  <si>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</si>
  <si>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</si>
  <si>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</si>
  <si>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</si>
  <si>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</si>
  <si>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</si>
  <si>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</si>
  <si>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</si>
  <si>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</si>
  <si>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</si>
  <si>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</si>
  <si>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</si>
  <si>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</si>
  <si>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</si>
  <si>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</si>
  <si>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</si>
  <si>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</si>
  <si>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</si>
  <si>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</si>
  <si>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</si>
  <si>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</si>
  <si>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</si>
  <si>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</si>
  <si>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</si>
  <si>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</si>
  <si>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</si>
  <si>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</si>
  <si>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</si>
  <si>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</si>
  <si>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</si>
  <si>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</si>
  <si>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</si>
  <si>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</si>
  <si>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</si>
  <si>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</si>
  <si>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</si>
  <si>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</si>
  <si>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</si>
  <si>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</si>
  <si>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</si>
  <si>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</si>
  <si>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</si>
  <si>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</si>
  <si>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</si>
  <si>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</si>
  <si>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</si>
  <si>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</si>
  <si>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</si>
  <si>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</si>
  <si>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</si>
  <si>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</si>
  <si>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</si>
  <si>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</si>
  <si>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</si>
  <si>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</si>
  <si>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</si>
  <si>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</si>
  <si>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</si>
  <si>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</si>
  <si>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</si>
  <si>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</si>
  <si>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</si>
  <si>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</si>
  <si>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</si>
  <si>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</si>
  <si>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</si>
  <si>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</si>
  <si>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</si>
  <si>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</si>
  <si>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</si>
  <si>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</si>
  <si>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</si>
  <si>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</si>
  <si>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</si>
  <si>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</si>
  <si>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</si>
  <si>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</si>
  <si>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</si>
  <si>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</si>
  <si>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</si>
  <si>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</si>
  <si>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</si>
  <si>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</si>
  <si>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</si>
  <si>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</si>
  <si>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</si>
  <si>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</si>
  <si>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</si>
  <si>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</si>
  <si>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</si>
  <si>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</si>
  <si>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</si>
  <si>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</si>
  <si>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</si>
  <si>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</si>
  <si>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</si>
  <si>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</si>
  <si>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</si>
  <si>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</si>
  <si>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</si>
  <si>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</si>
  <si>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</si>
  <si>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</si>
  <si>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</si>
  <si>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</si>
  <si>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</si>
  <si>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</si>
  <si>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</si>
  <si>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</si>
  <si>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</si>
  <si>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</si>
  <si>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</si>
  <si>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</si>
  <si>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</si>
  <si>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</si>
  <si>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</si>
  <si>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</si>
  <si>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</si>
  <si>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</si>
  <si>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</si>
  <si>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</si>
  <si>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</si>
  <si>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</si>
  <si>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</si>
  <si>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</si>
  <si>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</si>
  <si>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</si>
  <si>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</si>
  <si>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</si>
  <si>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</si>
  <si>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</si>
  <si>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</si>
  <si>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</si>
  <si>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</si>
  <si>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</si>
  <si>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</si>
  <si>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</si>
  <si>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</si>
  <si>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</si>
  <si>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</si>
  <si>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</si>
  <si>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</si>
  <si>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</si>
  <si>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</si>
  <si>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</si>
  <si>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</si>
  <si>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</si>
  <si>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</si>
  <si>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</si>
  <si>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</si>
  <si>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</si>
  <si>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</si>
  <si>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</si>
  <si>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</si>
  <si>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</si>
  <si>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</si>
  <si>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</si>
  <si>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</si>
  <si>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</si>
  <si>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</si>
  <si>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</si>
  <si>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</si>
  <si>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</si>
  <si>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</si>
  <si>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</si>
  <si>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</si>
  <si>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</si>
  <si>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มีนาคม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</si>
</sst>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2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theme="1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81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0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2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6" fillId="8" borderId="12" xfId="0" applyFont="1" applyFill="1" applyBorder="1" applyAlignment="1"/>
    <xf numFmtId="189" fontId="16" fillId="8" borderId="12" xfId="0" applyNumberFormat="1" applyFont="1" applyFill="1" applyBorder="1" applyAlignment="1"/>
    <xf numFmtId="188" fontId="16" fillId="8" borderId="12" xfId="0" applyNumberFormat="1" applyFont="1" applyFill="1" applyBorder="1" applyAlignment="1"/>
    <xf numFmtId="188" fontId="16" fillId="8" borderId="12" xfId="0" applyNumberFormat="1" applyFont="1" applyFill="1" applyBorder="1" applyAlignment="1">
      <alignment horizontal="center"/>
    </xf>
    <xf numFmtId="188" fontId="16" fillId="8" borderId="12" xfId="0" applyNumberFormat="1" applyFont="1" applyFill="1" applyBorder="1" applyAlignment="1">
      <alignment horizontal="right"/>
    </xf>
    <xf numFmtId="0" fontId="17" fillId="11" borderId="12" xfId="0" applyFont="1" applyFill="1" applyBorder="1" applyAlignment="1">
      <alignment horizontal="left"/>
    </xf>
    <xf numFmtId="189" fontId="17" fillId="11" borderId="12" xfId="0" applyNumberFormat="1" applyFont="1" applyFill="1" applyBorder="1" applyAlignment="1">
      <alignment horizontal="left"/>
    </xf>
    <xf numFmtId="188" fontId="17" fillId="11" borderId="12" xfId="0" applyNumberFormat="1" applyFont="1" applyFill="1" applyBorder="1" applyAlignment="1">
      <alignment horizontal="left"/>
    </xf>
    <xf numFmtId="188" fontId="17" fillId="11" borderId="12" xfId="0" applyNumberFormat="1" applyFont="1" applyFill="1" applyBorder="1" applyAlignment="1"/>
    <xf numFmtId="0" fontId="16" fillId="12" borderId="13" xfId="0" applyFont="1" applyFill="1" applyBorder="1" applyAlignment="1"/>
    <xf numFmtId="0" fontId="16" fillId="12" borderId="15" xfId="0" applyFont="1" applyFill="1" applyBorder="1" applyAlignment="1">
      <alignment horizontal="center"/>
    </xf>
    <xf numFmtId="189" fontId="16" fillId="12" borderId="16" xfId="0" applyNumberFormat="1" applyFont="1" applyFill="1" applyBorder="1" applyAlignment="1">
      <alignment horizontal="right"/>
    </xf>
    <xf numFmtId="188" fontId="16" fillId="12" borderId="16" xfId="0" applyNumberFormat="1" applyFont="1" applyFill="1" applyBorder="1" applyAlignment="1">
      <alignment horizontal="right"/>
    </xf>
    <xf numFmtId="188" fontId="16" fillId="12" borderId="16" xfId="0" applyNumberFormat="1" applyFont="1" applyFill="1" applyBorder="1" applyAlignment="1"/>
    <xf numFmtId="0" fontId="16" fillId="13" borderId="17" xfId="0" applyFont="1" applyFill="1" applyBorder="1" applyAlignment="1"/>
    <xf numFmtId="0" fontId="16" fillId="13" borderId="18" xfId="0" applyFont="1" applyFill="1" applyBorder="1" applyAlignment="1">
      <alignment horizontal="left"/>
    </xf>
    <xf numFmtId="0" fontId="16" fillId="13" borderId="18" xfId="0" applyFont="1" applyFill="1" applyBorder="1" applyAlignment="1"/>
    <xf numFmtId="0" fontId="16" fillId="13" borderId="19" xfId="0" applyFont="1" applyFill="1" applyBorder="1" applyAlignment="1">
      <alignment horizontal="center"/>
    </xf>
    <xf numFmtId="189" fontId="16" fillId="13" borderId="20" xfId="0" applyNumberFormat="1" applyFont="1" applyFill="1" applyBorder="1" applyAlignment="1">
      <alignment horizontal="right"/>
    </xf>
    <xf numFmtId="188" fontId="16" fillId="13" borderId="20" xfId="0" applyNumberFormat="1" applyFont="1" applyFill="1" applyBorder="1" applyAlignment="1">
      <alignment horizontal="right"/>
    </xf>
    <xf numFmtId="188" fontId="16" fillId="13" borderId="20" xfId="0" applyNumberFormat="1" applyFont="1" applyFill="1" applyBorder="1" applyAlignment="1"/>
    <xf numFmtId="188" fontId="18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18" fillId="10" borderId="19" xfId="0" applyNumberFormat="1" applyFont="1" applyFill="1" applyBorder="1" applyAlignment="1">
      <alignment vertical="center"/>
    </xf>
    <xf numFmtId="188" fontId="18" fillId="10" borderId="19" xfId="0" applyNumberFormat="1" applyFont="1" applyFill="1" applyBorder="1" applyAlignment="1">
      <alignment vertical="center"/>
    </xf>
    <xf numFmtId="187" fontId="15" fillId="2" borderId="17" xfId="0" applyNumberFormat="1" applyFont="1" applyFill="1" applyBorder="1" applyAlignment="1">
      <alignment vertical="center"/>
    </xf>
    <xf numFmtId="187" fontId="15" fillId="2" borderId="18" xfId="0" applyNumberFormat="1" applyFont="1" applyFill="1" applyBorder="1" applyAlignment="1">
      <alignment vertical="center"/>
    </xf>
    <xf numFmtId="187" fontId="15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6" fillId="11" borderId="5" xfId="0" applyFont="1" applyFill="1" applyBorder="1" applyAlignment="1">
      <alignment horizontal="left"/>
    </xf>
    <xf numFmtId="0" fontId="16" fillId="12" borderId="14" xfId="0" applyFont="1" applyFill="1" applyBorder="1" applyAlignment="1">
      <alignment horizontal="left"/>
    </xf>
    <xf numFmtId="0" fontId="16" fillId="8" borderId="5" xfId="0" applyFont="1" applyFill="1" applyBorder="1" applyAlignment="1">
      <alignment horizontal="left"/>
    </xf>
    <xf numFmtId="0" fontId="15" fillId="3" borderId="4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80" zoomScaleNormal="100" zoomScaleSheetLayoutView="80" workbookViewId="0">
      <pane ySplit="6" topLeftCell="A420" activePane="bottomLeft" state="frozen"/>
      <selection activeCell="I11" sqref="I11"/>
      <selection pane="bottomLeft" activeCell="J430" sqref="J43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8.5703125" customWidth="1"/>
    <col min="8" max="8" width="10.85546875" customWidth="1"/>
    <col min="9" max="9" width="16.5703125" customWidth="1"/>
    <col min="10" max="10" width="15.85546875" customWidth="1"/>
    <col min="11" max="11" width="11" bestFit="1" customWidth="1"/>
    <col min="12" max="12" width="20.7109375" bestFit="1" customWidth="1"/>
    <col min="13" max="14" width="19.42578125" bestFit="1" customWidth="1"/>
    <col min="15" max="15" width="18.7109375" bestFit="1" customWidth="1"/>
    <col min="16" max="16" width="20.42578125" bestFit="1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1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142856688</v>
      </c>
      <c r="M8" s="23">
        <f t="shared" ca="1" si="0"/>
        <v>52770414</v>
      </c>
      <c r="N8" s="23">
        <f t="shared" ca="1" si="0"/>
        <v>55947582.519999996</v>
      </c>
      <c r="O8" s="22">
        <f t="shared" ref="O8:O16" ca="1" si="1">IF(L8&gt;0,N8*100/L8,0)</f>
        <v>39.163432460368952</v>
      </c>
      <c r="P8" s="22">
        <f t="shared" ref="P8:P16" ca="1" si="2">IF(M8&gt;0,N8*100/M8,0)</f>
        <v>106.02073828717735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142856688</v>
      </c>
      <c r="M10" s="30">
        <f t="shared" ca="1" si="4"/>
        <v>52770414</v>
      </c>
      <c r="N10" s="30">
        <f t="shared" ca="1" si="4"/>
        <v>55947582.519999996</v>
      </c>
      <c r="O10" s="29">
        <f t="shared" ca="1" si="1"/>
        <v>39.163432460368952</v>
      </c>
      <c r="P10" s="29">
        <f t="shared" ca="1" si="2"/>
        <v>106.02073828717735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132101343</v>
      </c>
      <c r="M12" s="38">
        <f t="shared" ca="1" si="6"/>
        <v>42015069</v>
      </c>
      <c r="N12" s="38">
        <f t="shared" ca="1" si="6"/>
        <v>46104938.519999996</v>
      </c>
      <c r="O12" s="38">
        <f t="shared" ca="1" si="1"/>
        <v>34.901188339924751</v>
      </c>
      <c r="P12" s="38">
        <f t="shared" ca="1" si="2"/>
        <v>109.7342920465036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87463843</v>
      </c>
      <c r="M14" s="38">
        <f t="shared" si="8"/>
        <v>0</v>
      </c>
      <c r="N14" s="38">
        <f t="shared" ca="1" si="8"/>
        <v>11993900.52</v>
      </c>
      <c r="O14" s="38">
        <f t="shared" ca="1" si="1"/>
        <v>13.71298139735296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10755345</v>
      </c>
      <c r="M16" s="38">
        <f t="shared" ca="1" si="10"/>
        <v>10755345</v>
      </c>
      <c r="N16" s="38">
        <f t="shared" ca="1" si="10"/>
        <v>9842644</v>
      </c>
      <c r="O16" s="49">
        <f t="shared" ca="1" si="1"/>
        <v>91.513977468877101</v>
      </c>
      <c r="P16" s="49">
        <f t="shared" ca="1" si="2"/>
        <v>91.513977468877101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86825505</v>
      </c>
      <c r="M18" s="23">
        <f t="shared" ca="1" si="11"/>
        <v>52770414</v>
      </c>
      <c r="N18" s="23">
        <f t="shared" ca="1" si="11"/>
        <v>43953682</v>
      </c>
      <c r="O18" s="22">
        <f t="shared" ref="O18:O26" ca="1" si="12">IF(L18&gt;0,N18*100/L18,0)</f>
        <v>50.623007605887231</v>
      </c>
      <c r="P18" s="22">
        <f t="shared" ref="P18:P26" ca="1" si="13">IF(M18&gt;0,N18*100/M18,0)</f>
        <v>83.292281921456976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86825505</v>
      </c>
      <c r="M20" s="30">
        <f t="shared" ca="1" si="15"/>
        <v>52770414</v>
      </c>
      <c r="N20" s="30">
        <f t="shared" ca="1" si="15"/>
        <v>43953682</v>
      </c>
      <c r="O20" s="29">
        <f t="shared" ca="1" si="12"/>
        <v>50.623007605887231</v>
      </c>
      <c r="P20" s="29">
        <f t="shared" ca="1" si="13"/>
        <v>83.292281921456976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76070160</v>
      </c>
      <c r="M22" s="41">
        <f t="shared" ca="1" si="17"/>
        <v>42015069</v>
      </c>
      <c r="N22" s="38">
        <f t="shared" ca="1" si="17"/>
        <v>34111038</v>
      </c>
      <c r="O22" s="38">
        <f t="shared" ca="1" si="12"/>
        <v>44.841548906956419</v>
      </c>
      <c r="P22" s="38">
        <f t="shared" ca="1" si="13"/>
        <v>81.187628181688808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31432660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10755345</v>
      </c>
      <c r="M26" s="49">
        <f t="shared" ca="1" si="21"/>
        <v>10755345</v>
      </c>
      <c r="N26" s="49">
        <f t="shared" ca="1" si="21"/>
        <v>9842644</v>
      </c>
      <c r="O26" s="49">
        <f t="shared" ca="1" si="12"/>
        <v>91.513977468877101</v>
      </c>
      <c r="P26" s="49">
        <f t="shared" ca="1" si="13"/>
        <v>91.513977468877101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2">L29+L30</f>
        <v>56031183</v>
      </c>
      <c r="M28" s="23">
        <f t="shared" si="22"/>
        <v>0</v>
      </c>
      <c r="N28" s="23">
        <f t="shared" ca="1" si="22"/>
        <v>11993900.52</v>
      </c>
      <c r="O28" s="22">
        <f t="shared" ref="O28:O30" ca="1" si="23">IF(L28&gt;0,N28*100/L28,0)</f>
        <v>21.405759931929332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56031183</v>
      </c>
      <c r="M30" s="30">
        <f t="shared" si="26"/>
        <v>0</v>
      </c>
      <c r="N30" s="30">
        <f t="shared" ca="1" si="26"/>
        <v>11993900.52</v>
      </c>
      <c r="O30" s="29">
        <f t="shared" ca="1" si="23"/>
        <v>21.405759931929332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56031183</v>
      </c>
      <c r="M32" s="38">
        <f t="shared" si="29"/>
        <v>0</v>
      </c>
      <c r="N32" s="38">
        <f t="shared" ca="1" si="29"/>
        <v>11993900.52</v>
      </c>
      <c r="O32" s="38">
        <f t="shared" ca="1" si="28"/>
        <v>21.405759931929332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56031183</v>
      </c>
      <c r="M34" s="38">
        <f t="shared" si="31"/>
        <v>0</v>
      </c>
      <c r="N34" s="38">
        <f t="shared" ca="1" si="31"/>
        <v>11993900.52</v>
      </c>
      <c r="O34" s="38">
        <f t="shared" ca="1" si="28"/>
        <v>21.405759931929332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86825505</v>
      </c>
      <c r="M37" s="54">
        <f t="shared" ca="1" si="32"/>
        <v>52770414</v>
      </c>
      <c r="N37" s="54">
        <f t="shared" ca="1" si="32"/>
        <v>43953682</v>
      </c>
      <c r="O37" s="55">
        <f t="shared" ca="1" si="28"/>
        <v>50.623007605887231</v>
      </c>
      <c r="P37" s="55">
        <f t="shared" ca="1" si="24"/>
        <v>83.292281921456976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3">L42+L43</f>
        <v>24503255</v>
      </c>
      <c r="M41" s="78">
        <f t="shared" ca="1" si="33"/>
        <v>16396175</v>
      </c>
      <c r="N41" s="78">
        <f t="shared" ca="1" si="33"/>
        <v>14343212</v>
      </c>
      <c r="O41" s="77">
        <f t="shared" ref="O41:O43" ca="1" si="34">IF(L41&gt;0,N41*100/L41,0)</f>
        <v>58.535945530501969</v>
      </c>
      <c r="P41" s="77">
        <f t="shared" ref="P41:P43" ca="1" si="35">IF(M41&gt;0,N41*100/M41,0)</f>
        <v>87.479012635568964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24503255</v>
      </c>
      <c r="M43" s="78">
        <f t="shared" ca="1" si="37"/>
        <v>16396175</v>
      </c>
      <c r="N43" s="78">
        <f t="shared" ca="1" si="37"/>
        <v>14343212</v>
      </c>
      <c r="O43" s="77">
        <f t="shared" ca="1" si="34"/>
        <v>58.535945530501969</v>
      </c>
      <c r="P43" s="77">
        <f t="shared" ca="1" si="35"/>
        <v>87.479012635568964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8213020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7071858</v>
      </c>
      <c r="O45" s="38">
        <f ca="1">IF(L45&gt;0,N45*100/L45,0)</f>
        <v>43.332197719376722</v>
      </c>
      <c r="P45" s="38">
        <f ca="1">IF(M45&gt;0,N45*100/M45,0)</f>
        <v>86.10545207487624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8183155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8183155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7271354</v>
      </c>
      <c r="O49" s="49">
        <f ca="1">IF(L49&gt;0,N49*100/L49,0)</f>
        <v>88.857586102181855</v>
      </c>
      <c r="P49" s="49">
        <f ca="1">IF(M49&gt;0,N49*100/M49,0)</f>
        <v>88.857586102181855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6671689</v>
      </c>
      <c r="N53" s="121">
        <f t="shared" ca="1" si="38"/>
        <v>5915658</v>
      </c>
      <c r="O53" s="120">
        <f t="shared" ref="O53:O55" ca="1" si="39">IF(L53&gt;0,N53*100/L53,0)</f>
        <v>46.401684864457835</v>
      </c>
      <c r="P53" s="120">
        <f t="shared" ref="P53:P55" ca="1" si="40">IF(M53&gt;0,N53*100/M53,0)</f>
        <v>88.668071908028082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6671689</v>
      </c>
      <c r="N55" s="121">
        <f t="shared" ca="1" si="42"/>
        <v>5915658</v>
      </c>
      <c r="O55" s="120">
        <f t="shared" ca="1" si="39"/>
        <v>46.401684864457835</v>
      </c>
      <c r="P55" s="120">
        <f t="shared" ca="1" si="40"/>
        <v>88.668071908028082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6671689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5915658</v>
      </c>
      <c r="O57" s="38">
        <f ca="1">IF(L57&gt;0,N57*100/L57,0)</f>
        <v>46.401684864457835</v>
      </c>
      <c r="P57" s="38">
        <f ca="1">IF(M57&gt;0,N57*100/M57,0)</f>
        <v>88.668071908028082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6080820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4664076</v>
      </c>
      <c r="O66" s="151">
        <f t="shared" ref="O66:O68" ca="1" si="44">IF(L66&gt;0,N66*100/L66,0)</f>
        <v>42.864799786782342</v>
      </c>
      <c r="P66" s="151">
        <f t="shared" ref="P66:P68" ca="1" si="45">IF(M66&gt;0,N66*100/M66,0)</f>
        <v>76.701431714801629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6080820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4664076</v>
      </c>
      <c r="O68" s="156">
        <f t="shared" ca="1" si="44"/>
        <v>42.864799786782342</v>
      </c>
      <c r="P68" s="156">
        <f t="shared" ca="1" si="45"/>
        <v>76.701431714801629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6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6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9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5895820</v>
      </c>
      <c r="N70" s="170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4479076</v>
      </c>
      <c r="O70" s="170">
        <f ca="1">IF(L70&gt;0,N70*100/L70,0)</f>
        <v>41.876569526641049</v>
      </c>
      <c r="P70" s="170">
        <f ca="1">IF(M70&gt;0,N70*100/M70,0)</f>
        <v>75.970365445349415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12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2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3">
        <f t="shared" ref="K80:K88" ca="1" si="46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2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3">
        <f t="shared" ca="1" si="46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5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5">
        <f t="shared" ca="1" si="46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5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5">
        <f t="shared" ca="1" si="46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90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5">
        <f t="shared" ca="1" si="46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90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5">
        <f t="shared" ca="1" si="46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5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5">
        <f t="shared" ca="1" si="46"/>
        <v>100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5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5">
        <f t="shared" ca="1" si="46"/>
        <v>100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270</v>
      </c>
      <c r="J88" s="205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131</v>
      </c>
      <c r="K88" s="165">
        <f t="shared" ca="1" si="46"/>
        <v>48.518518518518519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1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12</v>
      </c>
      <c r="K92" s="143">
        <f t="shared" ref="K92:K93" ca="1" si="47">IF(I92&gt;0,J92*100/I92,0)</f>
        <v>24.489795918367346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8</v>
      </c>
      <c r="K93" s="143">
        <f t="shared" ca="1" si="47"/>
        <v>61.53846153846154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2566280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1977530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1517253</v>
      </c>
      <c r="O94" s="151">
        <f t="shared" ref="O94:O96" ca="1" si="48">IF(L94&gt;0,N94*100/L94,0)</f>
        <v>59.122660037096495</v>
      </c>
      <c r="P94" s="151">
        <f t="shared" ref="P94:P96" ca="1" si="49">IF(M94&gt;0,N94*100/M94,0)</f>
        <v>76.724651459143473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2566280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1977530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1517253</v>
      </c>
      <c r="O96" s="156">
        <f t="shared" ca="1" si="48"/>
        <v>59.122660037096495</v>
      </c>
      <c r="P96" s="156">
        <f t="shared" ca="1" si="49"/>
        <v>76.724651459143473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6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6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9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777130</v>
      </c>
      <c r="N98" s="170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317253</v>
      </c>
      <c r="O98" s="170">
        <f ca="1">IF(L98&gt;0,N98*100/L98,0)</f>
        <v>23.227003836354584</v>
      </c>
      <c r="P98" s="170">
        <f ca="1">IF(M98&gt;0,N98*100/M98,0)</f>
        <v>40.823671715157055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1200400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1200400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99.966677774075308</v>
      </c>
      <c r="P102" s="49">
        <f ca="1">IF(M102&gt;0,N102*100/M102,0)</f>
        <v>99.966677774075308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5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5</v>
      </c>
      <c r="K108" s="225">
        <f t="shared" ref="K108:K111" ca="1" si="50">IF(I108&gt;0,J108*100/I108,0)</f>
        <v>45.454545454545453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5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12</v>
      </c>
      <c r="K109" s="225">
        <f t="shared" ca="1" si="50"/>
        <v>24.489795918367346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5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5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16</v>
      </c>
      <c r="K111" s="225">
        <f t="shared" ca="1" si="50"/>
        <v>32.653061224489797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5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0</v>
      </c>
      <c r="K112" s="225">
        <f ca="1">IF(I112&gt;0,J112*100/I112,0)</f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5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8</v>
      </c>
      <c r="K113" s="225">
        <f ca="1">IF(I113&gt;0,J113*100/I113,0)</f>
        <v>61.53846153846154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101</v>
      </c>
      <c r="K117" s="143">
        <f ca="1">IF(I117&gt;0,J117*100/I117,0)</f>
        <v>84.166666666666671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398640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178313</v>
      </c>
      <c r="O118" s="151">
        <f t="shared" ref="O118:O120" ca="1" si="51">IF(L118&gt;0,N118*100/L118,0)</f>
        <v>36.049045770661493</v>
      </c>
      <c r="P118" s="151">
        <f t="shared" ref="P118:P120" ca="1" si="52">IF(M118&gt;0,N118*100/M118,0)</f>
        <v>44.730333132651012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398640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178313</v>
      </c>
      <c r="O120" s="156">
        <f t="shared" ca="1" si="51"/>
        <v>36.049045770661493</v>
      </c>
      <c r="P120" s="156">
        <f t="shared" ca="1" si="52"/>
        <v>44.730333132651012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6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6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9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398640</v>
      </c>
      <c r="N122" s="170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178313</v>
      </c>
      <c r="O122" s="170">
        <f ca="1">IF(L122&gt;0,N122*100/L122,0)</f>
        <v>36.049045770661493</v>
      </c>
      <c r="P122" s="170">
        <f ca="1">IF(M122&gt;0,N122*100/M122,0)</f>
        <v>44.730333132651012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5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101</v>
      </c>
      <c r="K132" s="225">
        <f t="shared" ref="K132:K133" ca="1" si="53">IF(I132&gt;0,J132*100/I132,0)</f>
        <v>84.166666666666671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5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60</v>
      </c>
      <c r="K133" s="225">
        <f t="shared" ca="1" si="53"/>
        <v>50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130</v>
      </c>
      <c r="K138" s="269">
        <f ca="1">IF(I138&gt;0,J138*100/I138,0)</f>
        <v>81.25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2858250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2178772</v>
      </c>
      <c r="O140" s="151">
        <f t="shared" ref="O140:O142" ca="1" si="54">IF(L140&gt;0,N140*100/L140,0)</f>
        <v>49.066468488554086</v>
      </c>
      <c r="P140" s="151">
        <f t="shared" ref="P140:P142" ca="1" si="55">IF(M140&gt;0,N140*100/M140,0)</f>
        <v>76.227481850782823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2858250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2178772</v>
      </c>
      <c r="O142" s="156">
        <f t="shared" ca="1" si="54"/>
        <v>49.066468488554086</v>
      </c>
      <c r="P142" s="156">
        <f t="shared" ca="1" si="55"/>
        <v>76.227481850782823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6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6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9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2858250</v>
      </c>
      <c r="N144" s="170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2178772</v>
      </c>
      <c r="O144" s="170">
        <f ca="1">IF(L144&gt;0,N144*100/L144,0)</f>
        <v>49.066468488554086</v>
      </c>
      <c r="P144" s="170">
        <f ca="1">IF(M144&gt;0,N144*100/M144,0)</f>
        <v>76.227481850782823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24</v>
      </c>
      <c r="K149" s="277">
        <f ca="1">IF(I149&gt;0,J149*100/I149,0)</f>
        <v>30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19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14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90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24</v>
      </c>
      <c r="K158" s="165">
        <f ca="1">IF(I158&gt;0,J158*100/I158,0)</f>
        <v>30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626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626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4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38</v>
      </c>
      <c r="K164" s="285">
        <f ca="1">IF(I164&gt;0,J164*100/I164,0)</f>
        <v>57.575757575757578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20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19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12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90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38</v>
      </c>
      <c r="K173" s="165">
        <f ca="1">IF(I173&gt;0,J173*100/I173,0)</f>
        <v>57.575757575757578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4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21</v>
      </c>
      <c r="K176" s="285">
        <f ca="1">IF(I176&gt;0,J176*100/I176,0)</f>
        <v>77.777777777777771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1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12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11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9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5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2</v>
      </c>
      <c r="K185" s="225">
        <f t="shared" ref="K185:K186" ca="1" si="56">IF(I185&gt;0,J185*100/I185,0)</f>
        <v>7.4074074074074074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5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21</v>
      </c>
      <c r="K186" s="225">
        <f t="shared" ca="1" si="56"/>
        <v>77.777777777777771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1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4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2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18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8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90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116800</v>
      </c>
      <c r="K199" s="165">
        <f t="shared" ref="K199:K201" ca="1" si="57">IF(I199&gt;0,J199*100/I199,0)</f>
        <v>12.375503284594194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90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65">
        <f t="shared" ca="1" si="57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90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30</v>
      </c>
      <c r="K201" s="165">
        <f t="shared" ca="1" si="57"/>
        <v>50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4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5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9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5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0</v>
      </c>
      <c r="K215" s="225">
        <f t="shared" ref="K215:K216" ca="1" si="58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5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0</v>
      </c>
      <c r="K216" s="225">
        <f t="shared" ca="1" si="58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247</v>
      </c>
      <c r="K219" s="269">
        <f ca="1">IF(I219&gt;0,J219*100/I219,0)</f>
        <v>89.492753623188406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370248</v>
      </c>
      <c r="O220" s="151">
        <f t="shared" ref="O220:O222" ca="1" si="59">IF(L220&gt;0,N220*100/L220,0)</f>
        <v>92.437209766814803</v>
      </c>
      <c r="P220" s="151">
        <f t="shared" ref="P220:P222" ca="1" si="60">IF(M220&gt;0,N220*100/M220,0)</f>
        <v>92.437209766814803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370248</v>
      </c>
      <c r="O222" s="156">
        <f t="shared" ca="1" si="59"/>
        <v>92.437209766814803</v>
      </c>
      <c r="P222" s="156">
        <f t="shared" ca="1" si="60"/>
        <v>92.437209766814803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6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6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9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70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370248</v>
      </c>
      <c r="O224" s="170">
        <f ca="1">IF(L224&gt;0,N224*100/L224,0)</f>
        <v>92.437209766814803</v>
      </c>
      <c r="P224" s="170">
        <f ca="1">IF(M224&gt;0,N224*100/M224,0)</f>
        <v>92.437209766814803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247</v>
      </c>
      <c r="K229" s="269">
        <f ca="1">IF(I229&gt;0,J229*100/I229,0)</f>
        <v>89.492753623188406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19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19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16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90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247</v>
      </c>
      <c r="K235" s="165">
        <f ca="1">IF(I235&gt;0,J235*100/I235,0)</f>
        <v>89.492753623188406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3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9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6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158</v>
      </c>
      <c r="K249" s="317">
        <f ca="1">IF(I249&gt;0,J249*100/I249,0)</f>
        <v>65.833333333333329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677000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495790</v>
      </c>
      <c r="O250" s="151">
        <f t="shared" ref="O250:O252" ca="1" si="61">IF(L250&gt;0,N250*100/L250,0)</f>
        <v>36.324272840501138</v>
      </c>
      <c r="P250" s="151">
        <f t="shared" ref="P250:P252" ca="1" si="62">IF(M250&gt;0,N250*100/M250,0)</f>
        <v>73.233382570162476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677000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495790</v>
      </c>
      <c r="O252" s="156">
        <f t="shared" ca="1" si="61"/>
        <v>36.324272840501138</v>
      </c>
      <c r="P252" s="156">
        <f t="shared" ca="1" si="62"/>
        <v>73.233382570162476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6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6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9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677000</v>
      </c>
      <c r="N254" s="170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495790</v>
      </c>
      <c r="O254" s="170">
        <f ca="1">IF(L254&gt;0,N254*100/L254,0)</f>
        <v>36.324272840501138</v>
      </c>
      <c r="P254" s="170">
        <f ca="1">IF(M254&gt;0,N254*100/M254,0)</f>
        <v>73.233382570162476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9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9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90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2</v>
      </c>
      <c r="K264" s="165">
        <f t="shared" ref="K264:K267" ca="1" si="63">IF(I264&gt;0,J264*100/I264,0)</f>
        <v>22.222222222222221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90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158</v>
      </c>
      <c r="K265" s="165">
        <f t="shared" ca="1" si="63"/>
        <v>65.833333333333329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90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5">
        <f t="shared" ca="1" si="63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90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5</v>
      </c>
      <c r="K267" s="165">
        <f t="shared" ca="1" si="63"/>
        <v>55.555555555555557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6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220</v>
      </c>
      <c r="K270" s="317">
        <f ca="1">IF(I270&gt;0,J270*100/I270,0)</f>
        <v>86.274509803921575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1042250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812351</v>
      </c>
      <c r="O271" s="151">
        <f t="shared" ref="O271:O273" ca="1" si="64">IF(L271&gt;0,N271*100/L271,0)</f>
        <v>40.287195000991865</v>
      </c>
      <c r="P271" s="151">
        <f t="shared" ref="P271:P273" ca="1" si="65">IF(M271&gt;0,N271*100/M271,0)</f>
        <v>77.942048452866388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1042250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812351</v>
      </c>
      <c r="O273" s="156">
        <f t="shared" ca="1" si="64"/>
        <v>40.287195000991865</v>
      </c>
      <c r="P273" s="156">
        <f t="shared" ca="1" si="65"/>
        <v>77.942048452866388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6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6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9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1042250</v>
      </c>
      <c r="N275" s="170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812351</v>
      </c>
      <c r="O275" s="170">
        <f ca="1">IF(L275&gt;0,N275*100/L275,0)</f>
        <v>40.287195000991865</v>
      </c>
      <c r="P275" s="170">
        <f ca="1">IF(M275&gt;0,N275*100/M275,0)</f>
        <v>77.942048452866388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15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12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90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220</v>
      </c>
      <c r="K285" s="165">
        <f ca="1">IF(I285&gt;0,J285*100/I285,0)</f>
        <v>86.274509803921575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6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20</v>
      </c>
      <c r="K289" s="317">
        <f ca="1">IF(I289&gt;0,J289*100/I289,0)</f>
        <v>57.142857142857146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104900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51538</v>
      </c>
      <c r="O290" s="151">
        <f t="shared" ref="O290:O292" ca="1" si="66">IF(L290&gt;0,N290*100/L290,0)</f>
        <v>35.016986003533091</v>
      </c>
      <c r="P290" s="151">
        <f t="shared" ref="P290:P292" ca="1" si="67">IF(M290&gt;0,N290*100/M290,0)</f>
        <v>49.130600571973311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104900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51538</v>
      </c>
      <c r="O292" s="156">
        <f t="shared" ca="1" si="66"/>
        <v>35.016986003533091</v>
      </c>
      <c r="P292" s="156">
        <f t="shared" ca="1" si="67"/>
        <v>49.130600571973311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6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6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9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104900</v>
      </c>
      <c r="N294" s="170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51538</v>
      </c>
      <c r="O294" s="170">
        <f ca="1">IF(L294&gt;0,N294*100/L294,0)</f>
        <v>35.016986003533091</v>
      </c>
      <c r="P294" s="170">
        <f ca="1">IF(M294&gt;0,N294*100/M294,0)</f>
        <v>49.130600571973311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5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20</v>
      </c>
      <c r="K304" s="225">
        <f ca="1">IF(I304&gt;0,J304*100/I304,0)</f>
        <v>57.142857142857146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5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3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2</v>
      </c>
      <c r="K309" s="334">
        <f ca="1">IF(I309&gt;0,J309*100/I309,0)</f>
        <v>66.666666666666671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332600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210061</v>
      </c>
      <c r="O310" s="151">
        <f t="shared" ref="O310:O312" ca="1" si="68">IF(L310&gt;0,N310*100/L310,0)</f>
        <v>31.578622970535179</v>
      </c>
      <c r="P310" s="151">
        <f t="shared" ref="P310:P312" ca="1" si="69">IF(M310&gt;0,N310*100/M310,0)</f>
        <v>63.157245941070357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332600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210061</v>
      </c>
      <c r="O312" s="156">
        <f t="shared" ca="1" si="68"/>
        <v>31.578622970535179</v>
      </c>
      <c r="P312" s="156">
        <f t="shared" ca="1" si="69"/>
        <v>63.157245941070357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6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6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9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332600</v>
      </c>
      <c r="N314" s="170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210061</v>
      </c>
      <c r="O314" s="170">
        <f ca="1">IF(L314&gt;0,N314*100/L314,0)</f>
        <v>31.578622970535179</v>
      </c>
      <c r="P314" s="170">
        <f ca="1">IF(M314&gt;0,N314*100/M314,0)</f>
        <v>63.157245941070357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2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5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2</v>
      </c>
      <c r="K324" s="225">
        <f ca="1">IF(I324&gt;0,J324*100/I324,0)</f>
        <v>66.666666666666671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11895</v>
      </c>
      <c r="J328" s="339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4004</v>
      </c>
      <c r="K328" s="317">
        <f ca="1">IF(I328&gt;0,J328*100/I328,0)</f>
        <v>33.661202185792348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26596960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15830020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13216410</v>
      </c>
      <c r="O329" s="151">
        <f t="shared" ref="O329:O331" ca="1" si="70">IF(L329&gt;0,N329*100/L329,0)</f>
        <v>49.691430900373575</v>
      </c>
      <c r="P329" s="151">
        <f t="shared" ref="P329:P331" ca="1" si="71">IF(M329&gt;0,N329*100/M329,0)</f>
        <v>83.489534441523134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26596960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15830020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13216410</v>
      </c>
      <c r="O331" s="156">
        <f t="shared" ca="1" si="70"/>
        <v>49.691430900373575</v>
      </c>
      <c r="P331" s="156">
        <f t="shared" ca="1" si="71"/>
        <v>83.489534441523134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6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6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25410170</v>
      </c>
      <c r="M333" s="169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14643230</v>
      </c>
      <c r="N333" s="170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12030120</v>
      </c>
      <c r="O333" s="170">
        <f ca="1">IF(L333&gt;0,N333*100/L333,0)</f>
        <v>47.343721037679011</v>
      </c>
      <c r="P333" s="170">
        <f ca="1">IF(M333&gt;0,N333*100/M333,0)</f>
        <v>82.154825130794237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16668670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99.957869547266156</v>
      </c>
      <c r="P337" s="49">
        <f ca="1">IF(M337&gt;0,N337*100/M337,0)</f>
        <v>99.957869547266156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9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6019</v>
      </c>
      <c r="K339" s="342">
        <f t="shared" ref="K339:K346" ca="1" si="72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109666</v>
      </c>
      <c r="J340" s="189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51244.849999999991</v>
      </c>
      <c r="K340" s="342">
        <f t="shared" ca="1" si="72"/>
        <v>46.728110809184244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11895</v>
      </c>
      <c r="J341" s="189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7896</v>
      </c>
      <c r="K341" s="342">
        <f t="shared" ca="1" si="72"/>
        <v>66.38083228247163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9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87393.259999999951</v>
      </c>
      <c r="K342" s="342">
        <f t="shared" ca="1" si="72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11895</v>
      </c>
      <c r="J343" s="189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545</v>
      </c>
      <c r="K343" s="342">
        <f t="shared" ca="1" si="72"/>
        <v>4.581757040773434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9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5805.35</v>
      </c>
      <c r="K344" s="342">
        <f t="shared" ca="1" si="72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11895</v>
      </c>
      <c r="J345" s="189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4004</v>
      </c>
      <c r="K345" s="342">
        <f t="shared" ca="1" si="72"/>
        <v>33.661202185792348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9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43491.369999999995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56031183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11993900.519999992</v>
      </c>
      <c r="O347" s="358">
        <f ca="1">+IF(L347&gt;0,N347*100/L347,0)</f>
        <v>21.405759931929321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226</v>
      </c>
      <c r="K349" s="372">
        <f t="shared" ref="K349:K350" ca="1" si="73">IF(I349&gt;0,J349*100/I349,0)</f>
        <v>4.3436478954449358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2272666.7799999993</v>
      </c>
      <c r="O349" s="373">
        <f ca="1">+IF(L349&gt;0,N349*100/L349,0)</f>
        <v>22.780498117050584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255</v>
      </c>
      <c r="K350" s="372">
        <f t="shared" ca="1" si="73"/>
        <v>17.394270122783084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6"/>
      <c r="N351" s="166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7">
        <f t="shared" ref="O351:O354" ca="1" si="74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7"/>
      <c r="N352" s="166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2272666.7799999993</v>
      </c>
      <c r="O352" s="167">
        <f t="shared" ca="1" si="74"/>
        <v>22.780498117050584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70"/>
      <c r="N353" s="170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70">
        <f t="shared" ca="1" si="74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70"/>
      <c r="N354" s="169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2272666.7799999993</v>
      </c>
      <c r="O354" s="170">
        <f t="shared" ca="1" si="74"/>
        <v>22.780498117050584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927128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387504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761214.57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196820.21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19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18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14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5">
        <f t="shared" ref="K367:K373" ca="1" si="75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9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255</v>
      </c>
      <c r="K368" s="165">
        <f t="shared" ca="1" si="75"/>
        <v>17.394270122783084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5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5">
        <f t="shared" ca="1" si="75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5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828</v>
      </c>
      <c r="K370" s="165">
        <f t="shared" ca="1" si="75"/>
        <v>56.480218281036834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90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5">
        <f t="shared" ca="1" si="75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90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255</v>
      </c>
      <c r="K372" s="165">
        <f t="shared" ca="1" si="75"/>
        <v>17.394270122783084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5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5">
        <f t="shared" ca="1" si="75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9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9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226</v>
      </c>
      <c r="K375" s="165">
        <f t="shared" ref="K375:K377" ca="1" si="76">IF(I375&gt;0,J375*100/I375,0)</f>
        <v>4.3436478954449358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90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140</v>
      </c>
      <c r="K376" s="165">
        <f t="shared" ca="1" si="76"/>
        <v>5.3557765876052024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5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86</v>
      </c>
      <c r="K377" s="165">
        <f t="shared" ca="1" si="76"/>
        <v>3.3217458478176902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1000</v>
      </c>
      <c r="K380" s="372">
        <f t="shared" ref="K380:K381" ca="1" si="77">IF(I380&gt;0,J380*100/I380,0)</f>
        <v>5.5555555555555554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2236358.04</v>
      </c>
      <c r="O380" s="373">
        <f ca="1">+IF(L380&gt;0,N380*100/L380,0)</f>
        <v>12.222619594160316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1241</v>
      </c>
      <c r="K381" s="372">
        <f t="shared" ca="1" si="77"/>
        <v>68.944444444444443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6"/>
      <c r="N382" s="166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7">
        <f t="shared" ref="O382:O385" ca="1" si="78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7"/>
      <c r="N383" s="167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2236358.04</v>
      </c>
      <c r="O383" s="167">
        <f t="shared" ca="1" si="78"/>
        <v>12.222619594160316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70"/>
      <c r="N384" s="170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70">
        <f t="shared" ca="1" si="78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70"/>
      <c r="N385" s="169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2236358.04</v>
      </c>
      <c r="O385" s="170">
        <f t="shared" ca="1" si="78"/>
        <v>12.222619594160316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1284571.1299999999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62000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692304.91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197482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18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14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9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1241</v>
      </c>
      <c r="K396" s="165">
        <f t="shared" ref="K396:K398" ca="1" si="79">IF(I396&gt;0,J396*100/I396,0)</f>
        <v>68.944444444444443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9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1000</v>
      </c>
      <c r="K397" s="165">
        <f t="shared" ca="1" si="79"/>
        <v>5.5555555555555554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9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0</v>
      </c>
      <c r="K398" s="165">
        <f t="shared" ca="1" si="79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1650</v>
      </c>
      <c r="K401" s="372">
        <f t="shared" ref="K401:K402" ca="1" si="80">IF(I401&gt;0,J401*100/I401,0)</f>
        <v>50.091074681238617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1167933.95</v>
      </c>
      <c r="O401" s="373">
        <f ca="1">+IF(L401&gt;0,N401*100/L401,0)</f>
        <v>31.291348845932298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467</v>
      </c>
      <c r="K402" s="372">
        <f t="shared" ca="1" si="80"/>
        <v>42.531876138433518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6"/>
      <c r="N403" s="170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70">
        <f t="shared" ref="O403:O406" ca="1" si="81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7"/>
      <c r="N404" s="170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1167933.95</v>
      </c>
      <c r="O404" s="170">
        <f t="shared" ca="1" si="81"/>
        <v>31.291348845932298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70"/>
      <c r="N405" s="170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70">
        <f t="shared" ca="1" si="81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70"/>
      <c r="N406" s="170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1167933.95</v>
      </c>
      <c r="O406" s="170">
        <f t="shared" ca="1" si="81"/>
        <v>31.291348845932298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881201.95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133305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1860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151567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20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20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15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2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467</v>
      </c>
      <c r="K416" s="203">
        <f t="shared" ref="K416:K432" ca="1" si="82">IF(I416&gt;0,J416*100/I416,0)</f>
        <v>42.531876138433518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132</v>
      </c>
      <c r="K417" s="203">
        <f t="shared" ca="1" si="82"/>
        <v>48.888888888888886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456</v>
      </c>
      <c r="K418" s="203">
        <f t="shared" ca="1" si="82"/>
        <v>56.296296296296298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163</v>
      </c>
      <c r="K419" s="165">
        <f t="shared" ca="1" si="82"/>
        <v>60.370370370370374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185</v>
      </c>
      <c r="K420" s="288">
        <f t="shared" ca="1" si="82"/>
        <v>68.518518518518519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248</v>
      </c>
      <c r="K421" s="203">
        <f t="shared" ca="1" si="82"/>
        <v>40.722495894909684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954</v>
      </c>
      <c r="K422" s="203">
        <f t="shared" ca="1" si="82"/>
        <v>52.216748768472904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412</v>
      </c>
      <c r="K423" s="165">
        <f t="shared" ca="1" si="82"/>
        <v>67.651888341543511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385</v>
      </c>
      <c r="K424" s="165">
        <f t="shared" ca="1" si="82"/>
        <v>63.218390804597703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248</v>
      </c>
      <c r="K425" s="165">
        <f t="shared" ca="1" si="82"/>
        <v>40.722495894909684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87</v>
      </c>
      <c r="K426" s="203">
        <f t="shared" ca="1" si="82"/>
        <v>39.726027397260275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240</v>
      </c>
      <c r="K427" s="203">
        <f t="shared" ca="1" si="82"/>
        <v>36.529680365296805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119</v>
      </c>
      <c r="K428" s="165">
        <f t="shared" ca="1" si="82"/>
        <v>54.337899543378995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97</v>
      </c>
      <c r="K429" s="165">
        <f t="shared" ca="1" si="82"/>
        <v>44.292237442922378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86</v>
      </c>
      <c r="K430" s="203">
        <f t="shared" ca="1" si="82"/>
        <v>9.7838452787258241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43</v>
      </c>
      <c r="K431" s="165">
        <f t="shared" ca="1" si="82"/>
        <v>15.925925925925926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63</v>
      </c>
      <c r="K432" s="165">
        <f t="shared" ca="1" si="82"/>
        <v>10.344827586206897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396</v>
      </c>
      <c r="K435" s="411">
        <f ca="1">IF(I435&gt;0,J435*100/I435,0)</f>
        <v>71.869328493647913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2432000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988487.91999999993</v>
      </c>
      <c r="O435" s="412">
        <f t="shared" ref="O435:O439" ca="1" si="83">+IF(L435&gt;0,N435*100/L435,0)</f>
        <v>40.645062500000002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6"/>
      <c r="N436" s="170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70">
        <f t="shared" ca="1" si="83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2432000</v>
      </c>
      <c r="M437" s="167"/>
      <c r="N437" s="170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988487.91999999993</v>
      </c>
      <c r="O437" s="170">
        <f t="shared" ca="1" si="83"/>
        <v>40.645062500000002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70"/>
      <c r="N438" s="170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70">
        <f t="shared" ca="1" si="83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2432000</v>
      </c>
      <c r="M439" s="170"/>
      <c r="N439" s="170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988487.91999999993</v>
      </c>
      <c r="O439" s="170">
        <f t="shared" ca="1" si="83"/>
        <v>40.645062500000002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637199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351288.92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20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16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12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2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396</v>
      </c>
      <c r="K449" s="165">
        <f t="shared" ref="K449:K452" ca="1" si="84">IF(I449&gt;0,J449*100/I449,0)</f>
        <v>71.869328493647913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90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321</v>
      </c>
      <c r="K450" s="165">
        <f t="shared" ca="1" si="84"/>
        <v>67.436974789915965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9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5">
        <f t="shared" ca="1" si="84"/>
        <v>100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9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5">
        <f t="shared" ca="1" si="84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854990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82203.57749999981</v>
      </c>
      <c r="K455" s="372">
        <f ca="1">IF(I455&gt;0,J455*100/I455,0)</f>
        <v>9.6145659598357653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10836169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1684139.0200000003</v>
      </c>
      <c r="O455" s="373">
        <f t="shared" ref="O455:O459" ca="1" si="85">+IF(L455&gt;0,N455*100/L455,0)</f>
        <v>15.541830512240999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6"/>
      <c r="N456" s="170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70">
        <f t="shared" ca="1" si="85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10836169</v>
      </c>
      <c r="M457" s="167"/>
      <c r="N457" s="170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1684139.0200000003</v>
      </c>
      <c r="O457" s="170">
        <f t="shared" ca="1" si="85"/>
        <v>15.541830512240999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70"/>
      <c r="N458" s="170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70">
        <f t="shared" ca="1" si="85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10836169</v>
      </c>
      <c r="M459" s="170"/>
      <c r="N459" s="170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1684139.0200000003</v>
      </c>
      <c r="O459" s="170">
        <f t="shared" ca="1" si="85"/>
        <v>15.541830512240999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558819.9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1125319.1200000001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854990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82203.57749999981</v>
      </c>
      <c r="K464" s="269">
        <f t="shared" ref="K464:K515" ca="1" si="86">IF(I464&gt;0,J464*100/I464,0)</f>
        <v>9.6145659598357653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854990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731526.92799999984</v>
      </c>
      <c r="K465" s="203">
        <f t="shared" ca="1" si="86"/>
        <v>85.559705727552341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83796</v>
      </c>
      <c r="K466" s="203">
        <f t="shared" ca="1" si="86"/>
        <v>81.471614828930612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90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601821.70050000004</v>
      </c>
      <c r="K467" s="165">
        <f t="shared" ca="1" si="86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90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71871</v>
      </c>
      <c r="K468" s="165">
        <f t="shared" ca="1" si="86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90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108580.81250000001</v>
      </c>
      <c r="K469" s="165">
        <f t="shared" ca="1" si="86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90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9914</v>
      </c>
      <c r="K470" s="165">
        <f t="shared" ca="1" si="86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90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21124.415000000001</v>
      </c>
      <c r="K471" s="165">
        <f t="shared" ca="1" si="86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90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2011</v>
      </c>
      <c r="K472" s="165">
        <f t="shared" ca="1" si="86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854990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254569.48749999999</v>
      </c>
      <c r="K473" s="203">
        <f t="shared" ca="1" si="86"/>
        <v>29.7745573047638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47247</v>
      </c>
      <c r="K474" s="165">
        <f t="shared" ca="1" si="86"/>
        <v>45.936433550795797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90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233273.41999999998</v>
      </c>
      <c r="K475" s="165">
        <f t="shared" ca="1" si="86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90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44307</v>
      </c>
      <c r="K476" s="165">
        <f t="shared" ca="1" si="86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90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14275.0625</v>
      </c>
      <c r="K477" s="165">
        <f t="shared" ca="1" si="86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90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1922</v>
      </c>
      <c r="K478" s="165">
        <f t="shared" ca="1" si="86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90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7021.0049999999992</v>
      </c>
      <c r="K479" s="165">
        <f t="shared" ca="1" si="86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90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1018</v>
      </c>
      <c r="K480" s="165">
        <f t="shared" ca="1" si="86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854990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82203.57749999981</v>
      </c>
      <c r="K481" s="203">
        <f t="shared" ca="1" si="86"/>
        <v>9.6145659598357653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8968</v>
      </c>
      <c r="K482" s="165">
        <f t="shared" ca="1" si="86"/>
        <v>8.7192400805032424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90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76981.214999999997</v>
      </c>
      <c r="K483" s="165">
        <f t="shared" ca="1" si="86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90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8518</v>
      </c>
      <c r="K484" s="165">
        <f t="shared" ca="1" si="86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90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2730.0225</v>
      </c>
      <c r="K485" s="165">
        <f t="shared" ca="1" si="86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90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168</v>
      </c>
      <c r="K486" s="165">
        <f t="shared" ca="1" si="86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2492.34</v>
      </c>
      <c r="K487" s="165">
        <f t="shared" ca="1" si="86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282</v>
      </c>
      <c r="K488" s="165">
        <f t="shared" ca="1" si="86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90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2423.8724999999999</v>
      </c>
      <c r="K489" s="165">
        <f t="shared" ca="1" si="86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90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276</v>
      </c>
      <c r="K490" s="165">
        <f t="shared" ca="1" si="86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90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68.467500000000001</v>
      </c>
      <c r="K491" s="165">
        <f t="shared" ca="1" si="86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90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6</v>
      </c>
      <c r="K492" s="165">
        <f t="shared" ca="1" si="86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90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0</v>
      </c>
      <c r="K493" s="165">
        <f t="shared" ca="1" si="86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0</v>
      </c>
      <c r="K494" s="288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5">
        <f t="shared" ca="1" si="86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8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98190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21509.657500000001</v>
      </c>
      <c r="K497" s="444">
        <f t="shared" ca="1" si="86"/>
        <v>21.906158977492616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98190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21509.657500000001</v>
      </c>
      <c r="K498" s="165">
        <f t="shared" ca="1" si="86"/>
        <v>21.906158977492616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2450</v>
      </c>
      <c r="K499" s="203">
        <f t="shared" ca="1" si="86"/>
        <v>24.264633059324552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4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18179.940000000002</v>
      </c>
      <c r="K500" s="165">
        <f t="shared" ca="1" si="86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4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1901</v>
      </c>
      <c r="K501" s="165">
        <f t="shared" ca="1" si="86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90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8598.56</v>
      </c>
      <c r="K502" s="165">
        <f t="shared" ca="1" si="86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9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1018</v>
      </c>
      <c r="K503" s="165">
        <f t="shared" ca="1" si="86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90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9581.380000000001</v>
      </c>
      <c r="K504" s="165">
        <f t="shared" ca="1" si="86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9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883</v>
      </c>
      <c r="K505" s="165">
        <f t="shared" ca="1" si="86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90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65">
        <f t="shared" ca="1" si="86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9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65">
        <f t="shared" ca="1" si="86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4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2275.8874999999998</v>
      </c>
      <c r="K508" s="165">
        <f t="shared" ca="1" si="86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4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274</v>
      </c>
      <c r="K509" s="165">
        <f t="shared" ca="1" si="86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9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2019.095</v>
      </c>
      <c r="K510" s="165">
        <f t="shared" ca="1" si="86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9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245</v>
      </c>
      <c r="K511" s="165">
        <f t="shared" ca="1" si="86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9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256.79250000000002</v>
      </c>
      <c r="K512" s="165">
        <f t="shared" ca="1" si="86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9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29</v>
      </c>
      <c r="K513" s="165">
        <f t="shared" ca="1" si="86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9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1053.83</v>
      </c>
      <c r="K514" s="165">
        <f t="shared" ca="1" si="86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9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275</v>
      </c>
      <c r="K515" s="165">
        <f t="shared" ca="1" si="86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4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4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9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9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9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9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9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609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9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38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609</v>
      </c>
      <c r="J525" s="284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38</v>
      </c>
      <c r="J526" s="284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9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9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9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9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9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420</v>
      </c>
      <c r="K533" s="411">
        <f ca="1">IF(I533&gt;0,J533*100/I533,0)</f>
        <v>90.909090909090907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501624.7</v>
      </c>
      <c r="O533" s="412">
        <f t="shared" ref="O533:O537" ca="1" si="87">+IF(L533&gt;0,N533*100/L533,0)</f>
        <v>71.101004946776087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6"/>
      <c r="N534" s="170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70">
        <f t="shared" ca="1" si="87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7"/>
      <c r="N535" s="170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501624.7</v>
      </c>
      <c r="O535" s="170">
        <f t="shared" ca="1" si="87"/>
        <v>71.101004946776087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70"/>
      <c r="N536" s="170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70">
        <f t="shared" ca="1" si="87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70"/>
      <c r="N537" s="170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501624.7</v>
      </c>
      <c r="O537" s="170">
        <f t="shared" ca="1" si="87"/>
        <v>71.101004946776087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313769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32902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154953.70000000001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19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18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17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90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420</v>
      </c>
      <c r="K547" s="165">
        <f t="shared" ref="K547:K548" ca="1" si="88">IF(I547&gt;0,J547*100/I547,0)</f>
        <v>90.909090909090907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5">
        <f t="shared" ca="1" si="88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2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6302</v>
      </c>
      <c r="K551" s="411">
        <f ca="1">IF(I551&gt;0,J551*100/I551,0)</f>
        <v>25.207999999999998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558443.87999999989</v>
      </c>
      <c r="O551" s="412">
        <f t="shared" ref="O551:O555" ca="1" si="89">+IF(L551&gt;0,N551*100/L551,0)</f>
        <v>35.344549367088597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6"/>
      <c r="N552" s="170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70">
        <f t="shared" ca="1" si="89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7"/>
      <c r="N553" s="170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558443.87999999989</v>
      </c>
      <c r="O553" s="170">
        <f t="shared" ca="1" si="89"/>
        <v>35.344549367088597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70"/>
      <c r="N554" s="170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70">
        <f t="shared" ca="1" si="89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70"/>
      <c r="N555" s="170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558443.87999999989</v>
      </c>
      <c r="O555" s="170">
        <f t="shared" ca="1" si="89"/>
        <v>35.344549367088597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58864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499579.87999999995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4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6302</v>
      </c>
      <c r="K560" s="225">
        <f t="shared" ref="K560:K561" ca="1" si="90">IF(I560&gt;0,J560*100/I560,0)</f>
        <v>25.207999999999998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5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406</v>
      </c>
      <c r="K561" s="225">
        <f t="shared" ca="1" si="90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 t="str">
        <f ca="1">IFERROR(__xludf.DUMMYFUNCTION("IMPORTRANGE(""https://docs.google.com/spreadsheets/d/1SX6NBoVAgQJ6U1MVXOaj8PK2l7WJ3RER9xtqwdhxkhw/edit?usp=sharing"",""กาญจนบุรี!I457"")"),"")</f>
        <v/>
      </c>
      <c r="J562" s="205" t="str">
        <f ca="1">IFERROR(__xludf.DUMMYFUNCTION("IMPORTRANGE(""https://docs.google.com/spreadsheets/d/1SX6NBoVAgQJ6U1MVXOaj8PK2l7WJ3RER9xtqwdhxkhw/edit?usp=sharing"",""กาญจนบุรี!J457"")"),"")</f>
        <v/>
      </c>
      <c r="K562" s="165"/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 t="str">
        <f ca="1">IFERROR(__xludf.DUMMYFUNCTION("IMPORTRANGE(""https://docs.google.com/spreadsheets/d/1SX6NBoVAgQJ6U1MVXOaj8PK2l7WJ3RER9xtqwdhxkhw/edit?usp=sharing"",""กาญจนบุรี!I458"")"),"")</f>
        <v/>
      </c>
      <c r="J563" s="189" t="str">
        <f ca="1">IFERROR(__xludf.DUMMYFUNCTION("IMPORTRANGE(""https://docs.google.com/spreadsheets/d/1SX6NBoVAgQJ6U1MVXOaj8PK2l7WJ3RER9xtqwdhxkhw/edit?usp=sharing"",""กาญจนบุรี!J458"")"),"")</f>
        <v/>
      </c>
      <c r="K563" s="165"/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62987</v>
      </c>
      <c r="K564" s="372">
        <f ca="1">IF(I564&gt;0,J564*100/I564,0)</f>
        <v>83.41544166335585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1175385.22</v>
      </c>
      <c r="O564" s="373">
        <f t="shared" ref="O564:O568" ca="1" si="91">+IF(L564&gt;0,N564*100/L564,0)</f>
        <v>36.974821949869138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6"/>
      <c r="N565" s="170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70">
        <f t="shared" ca="1" si="91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7"/>
      <c r="N566" s="170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1175385.22</v>
      </c>
      <c r="O566" s="170">
        <f t="shared" ca="1" si="91"/>
        <v>36.974821949869138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70"/>
      <c r="N567" s="170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70">
        <f t="shared" ca="1" si="91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70"/>
      <c r="N568" s="170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1175385.22</v>
      </c>
      <c r="O568" s="170">
        <f t="shared" ca="1" si="91"/>
        <v>36.974821949869138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772230.65999999992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403154.56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62987</v>
      </c>
      <c r="K573" s="203">
        <f ca="1">IF(I573&gt;0,J573*100/I573,0)</f>
        <v>83.41544166335585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16</v>
      </c>
      <c r="J575" s="199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58</v>
      </c>
      <c r="K575" s="165">
        <f t="shared" ref="K575:K579" ca="1" si="92">IF(I575&gt;0,J575*100/I575,0)</f>
        <v>362.5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9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4907</v>
      </c>
      <c r="K576" s="165">
        <f t="shared" ca="1" si="92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90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57600</v>
      </c>
      <c r="K577" s="165">
        <f t="shared" ca="1" si="92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9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103</v>
      </c>
      <c r="K578" s="165">
        <f t="shared" ca="1" si="92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9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377</v>
      </c>
      <c r="K579" s="165">
        <f t="shared" ca="1" si="92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132</v>
      </c>
      <c r="K580" s="372">
        <f ca="1">IF(I580&gt;0,J580*100/I580,0)</f>
        <v>3.6850921273031827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1373377.01</v>
      </c>
      <c r="O580" s="373">
        <f t="shared" ref="O580:O584" ca="1" si="93">+IF(L580&gt;0,N580*100/L580,0)</f>
        <v>27.090045829376802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6"/>
      <c r="N581" s="170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70">
        <f t="shared" ca="1" si="93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7"/>
      <c r="N582" s="170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1373377.01</v>
      </c>
      <c r="O582" s="170">
        <f t="shared" ca="1" si="93"/>
        <v>27.090045829376802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70"/>
      <c r="N583" s="170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70">
        <f t="shared" ca="1" si="93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70"/>
      <c r="N584" s="170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1373377.01</v>
      </c>
      <c r="O584" s="170">
        <f t="shared" ca="1" si="93"/>
        <v>27.090045829376802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504839.29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868537.72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89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1284</v>
      </c>
      <c r="K589" s="165">
        <f t="shared" ref="K589:K596" ca="1" si="94">IF(I589&gt;0,J589*100/I589,0)</f>
        <v>35.845896147403685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9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819.81000000000006</v>
      </c>
      <c r="K590" s="479">
        <f t="shared" ca="1" si="94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89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1116</v>
      </c>
      <c r="K591" s="165">
        <f t="shared" ca="1" si="94"/>
        <v>31.155778894472363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9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661.37000000000012</v>
      </c>
      <c r="K592" s="342">
        <f t="shared" ca="1" si="94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89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119</v>
      </c>
      <c r="K593" s="165">
        <f t="shared" ca="1" si="94"/>
        <v>3.3221663874930205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9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77.830000000000013</v>
      </c>
      <c r="K594" s="342">
        <f t="shared" ca="1" si="94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89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132</v>
      </c>
      <c r="K595" s="165">
        <f t="shared" ca="1" si="94"/>
        <v>3.6850921273031827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79.240000000000023</v>
      </c>
      <c r="K596" s="486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7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1">
        <f ca="1">IF(I597&gt;0,J597*100/I597,0)</f>
        <v>0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35484</v>
      </c>
      <c r="O597" s="412">
        <f t="shared" ref="O597:O601" ca="1" si="95">+IF(L597&gt;0,N597*100/L597,0)</f>
        <v>15.894288913773796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6"/>
      <c r="N598" s="170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70">
        <f t="shared" ca="1" si="95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7"/>
      <c r="N599" s="170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35484</v>
      </c>
      <c r="O599" s="170">
        <f t="shared" ca="1" si="95"/>
        <v>15.894288913773796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70"/>
      <c r="N600" s="170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70">
        <f t="shared" ca="1" si="95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70"/>
      <c r="N601" s="170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35484</v>
      </c>
      <c r="O601" s="170">
        <f t="shared" ca="1" si="95"/>
        <v>15.894288913773796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35484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4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5">
        <f t="shared" ref="K611:K619" ca="1" si="96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9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1406.22</v>
      </c>
      <c r="K612" s="165">
        <f t="shared" ca="1" si="96"/>
        <v>61.948017621145375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9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836</v>
      </c>
      <c r="K613" s="165">
        <f t="shared" ca="1" si="96"/>
        <v>36.828193832599119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9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1027</v>
      </c>
      <c r="K614" s="165">
        <f t="shared" ca="1" si="96"/>
        <v>45.242290748898675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9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160</v>
      </c>
      <c r="K615" s="165">
        <f t="shared" ca="1" si="96"/>
        <v>7.0484581497797354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9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0</v>
      </c>
      <c r="K616" s="165">
        <f t="shared" ca="1" si="96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9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5">
        <f t="shared" ca="1" si="96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90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5">
        <f t="shared" ca="1" si="96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90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5">
        <f t="shared" ca="1" si="96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4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5">
        <f t="shared" ref="K620:K626" ca="1" si="97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4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5">
        <f t="shared" ca="1" si="97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90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5">
        <f t="shared" ca="1" si="97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90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5">
        <f t="shared" ca="1" si="97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9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5">
        <f t="shared" ca="1" si="97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90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5">
        <f t="shared" ca="1" si="97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90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5">
        <f t="shared" ca="1" si="97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1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33721687.850000001</v>
      </c>
      <c r="K628" s="342">
        <f t="shared" ref="K628:K635" ca="1" si="98">IF(I628&gt;0,J628*100/I628,0)</f>
        <v>26.703129754374988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1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2038</v>
      </c>
      <c r="K629" s="342">
        <f t="shared" ca="1" si="98"/>
        <v>23.889344742703084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1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16096432.870000003</v>
      </c>
      <c r="K630" s="342">
        <f t="shared" ca="1" si="98"/>
        <v>9.1916209898701524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1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2521</v>
      </c>
      <c r="K631" s="342">
        <f t="shared" ca="1" si="98"/>
        <v>31.215948489351163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1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3006280.6799999997</v>
      </c>
      <c r="K632" s="342">
        <f t="shared" ca="1" si="98"/>
        <v>27.966375138410513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1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387</v>
      </c>
      <c r="K633" s="342">
        <f t="shared" ca="1" si="98"/>
        <v>40.952380952380949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120130000</v>
      </c>
      <c r="J634" s="341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24826000</v>
      </c>
      <c r="K634" s="342">
        <f t="shared" ca="1" si="98"/>
        <v>20.66594522600516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3206</v>
      </c>
      <c r="J635" s="504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638</v>
      </c>
      <c r="K635" s="486">
        <f t="shared" ca="1" si="98"/>
        <v>19.900187149095444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254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5947383</v>
      </c>
      <c r="M8" s="23">
        <f t="shared" ca="1" si="0"/>
        <v>1977609</v>
      </c>
      <c r="N8" s="23">
        <f t="shared" ca="1" si="0"/>
        <v>2261710</v>
      </c>
      <c r="O8" s="22">
        <f t="shared" ref="O8:O16" ca="1" si="1">IF(L8&gt;0,N8*100/L8,0)</f>
        <v>38.028658991694329</v>
      </c>
      <c r="P8" s="22">
        <f t="shared" ref="P8:P16" ca="1" si="2">IF(M8&gt;0,N8*100/M8,0)</f>
        <v>114.36588324587925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5947383</v>
      </c>
      <c r="M10" s="30">
        <f t="shared" ca="1" si="4"/>
        <v>1977609</v>
      </c>
      <c r="N10" s="30">
        <f t="shared" ca="1" si="4"/>
        <v>2261710</v>
      </c>
      <c r="O10" s="29">
        <f t="shared" ca="1" si="1"/>
        <v>38.028658991694329</v>
      </c>
      <c r="P10" s="29">
        <f t="shared" ca="1" si="2"/>
        <v>114.36588324587925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5715983</v>
      </c>
      <c r="M12" s="38">
        <f t="shared" ca="1" si="6"/>
        <v>1746209</v>
      </c>
      <c r="N12" s="38">
        <f t="shared" ca="1" si="6"/>
        <v>2030310</v>
      </c>
      <c r="O12" s="38">
        <f t="shared" ca="1" si="1"/>
        <v>35.519874709214498</v>
      </c>
      <c r="P12" s="38">
        <f t="shared" ca="1" si="2"/>
        <v>116.26958743197406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3899283</v>
      </c>
      <c r="M14" s="38">
        <f t="shared" si="8"/>
        <v>0</v>
      </c>
      <c r="N14" s="38">
        <f t="shared" ca="1" si="8"/>
        <v>640954</v>
      </c>
      <c r="O14" s="38">
        <f t="shared" ca="1" si="1"/>
        <v>16.43773996398825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1977609</v>
      </c>
      <c r="N18" s="23">
        <f t="shared" ca="1" si="11"/>
        <v>1620756</v>
      </c>
      <c r="O18" s="22">
        <f t="shared" ref="O18:O20" ca="1" si="12">IF(L18&gt;0,N18*100/L18,0)</f>
        <v>47.489045256167401</v>
      </c>
      <c r="P18" s="22">
        <f t="shared" ref="P18:P26" ca="1" si="13">IF(M18&gt;0,N18*100/M18,0)</f>
        <v>81.955330907171231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1977609</v>
      </c>
      <c r="N20" s="30">
        <f t="shared" ca="1" si="15"/>
        <v>1620756</v>
      </c>
      <c r="O20" s="29">
        <f t="shared" ca="1" si="12"/>
        <v>47.489045256167401</v>
      </c>
      <c r="P20" s="29">
        <f t="shared" ca="1" si="13"/>
        <v>81.955330907171231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1746209</v>
      </c>
      <c r="N22" s="38">
        <f t="shared" ca="1" si="18"/>
        <v>1389356</v>
      </c>
      <c r="O22" s="38">
        <f t="shared" ca="1" si="17"/>
        <v>43.669772639049761</v>
      </c>
      <c r="P22" s="38">
        <f t="shared" ca="1" si="13"/>
        <v>79.564130066904937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2534478</v>
      </c>
      <c r="M28" s="23">
        <f t="shared" si="23"/>
        <v>0</v>
      </c>
      <c r="N28" s="23">
        <f t="shared" ca="1" si="23"/>
        <v>640954</v>
      </c>
      <c r="O28" s="22">
        <f t="shared" ref="O28:O30" ca="1" si="24">IF(L28&gt;0,N28*100/L28,0)</f>
        <v>25.289388978716723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2534478</v>
      </c>
      <c r="M30" s="30">
        <f t="shared" si="27"/>
        <v>0</v>
      </c>
      <c r="N30" s="30">
        <f t="shared" ca="1" si="27"/>
        <v>640954</v>
      </c>
      <c r="O30" s="29">
        <f t="shared" ca="1" si="24"/>
        <v>25.289388978716723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2534478</v>
      </c>
      <c r="M32" s="38">
        <f t="shared" si="30"/>
        <v>0</v>
      </c>
      <c r="N32" s="38">
        <f t="shared" ca="1" si="30"/>
        <v>640954</v>
      </c>
      <c r="O32" s="38">
        <f t="shared" ca="1" si="29"/>
        <v>25.289388978716723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2534478</v>
      </c>
      <c r="M34" s="38">
        <f t="shared" si="32"/>
        <v>0</v>
      </c>
      <c r="N34" s="38">
        <f t="shared" ca="1" si="32"/>
        <v>640954</v>
      </c>
      <c r="O34" s="38">
        <f t="shared" ca="1" si="29"/>
        <v>25.289388978716723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1977609</v>
      </c>
      <c r="N37" s="54">
        <f t="shared" ca="1" si="33"/>
        <v>1620756</v>
      </c>
      <c r="O37" s="55">
        <f t="shared" ca="1" si="29"/>
        <v>47.489045256167401</v>
      </c>
      <c r="P37" s="55">
        <f t="shared" ca="1" si="25"/>
        <v>81.955330907171231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347000</v>
      </c>
      <c r="N41" s="78">
        <f t="shared" ca="1" si="34"/>
        <v>278479</v>
      </c>
      <c r="O41" s="77">
        <f t="shared" ref="O41:O43" ca="1" si="35">IF(L41&gt;0,N41*100/L41,0)</f>
        <v>40.120875954473419</v>
      </c>
      <c r="P41" s="77">
        <f t="shared" ref="P41:P43" ca="1" si="36">IF(M41&gt;0,N41*100/M41,0)</f>
        <v>80.253314121037462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347000</v>
      </c>
      <c r="N43" s="78">
        <f t="shared" ca="1" si="38"/>
        <v>278479</v>
      </c>
      <c r="O43" s="77">
        <f t="shared" ca="1" si="35"/>
        <v>40.120875954473419</v>
      </c>
      <c r="P43" s="77">
        <f t="shared" ca="1" si="36"/>
        <v>80.253314121037462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533">
        <f ca="1">IFERROR(__xludf.DUMMYFUNCTION("IMPORTRANGE(""https://docs.google.com/spreadsheets/d/1Yj_ptqi66GCucihVvJfMjLAmec39IyEx_6qawtMGysU/edit?usp=sharing"",""สบก!Q46"")"),347000)</f>
        <v>347000</v>
      </c>
      <c r="N45" s="533">
        <f ca="1">IFERROR(__xludf.DUMMYFUNCTION("IMPORTRANGE(""https://docs.google.com/spreadsheets/d/1Yj_ptqi66GCucihVvJfMjLAmec39IyEx_6qawtMGysU/edit?usp=sharing"",""สบก!R46"")"),278479)</f>
        <v>278479</v>
      </c>
      <c r="O45" s="534">
        <f ca="1">IF(L45&gt;0,N45*100/L45,0)</f>
        <v>40.120875954473419</v>
      </c>
      <c r="P45" s="534">
        <f ca="1">IF(M45&gt;0,N45*100/M45,0)</f>
        <v>80.253314121037462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IFERROR(__xludf.DUMMYFUNCTION("IMPORTRANGE(""https://docs.google.com/spreadsheets/d/1Yj_ptqi66GCucihVvJfMjLAmec39IyEx_6qawtMGysU/edit?usp=sharing"",""สบก!M46"")"),694100)</f>
        <v>694100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IFERROR(__xludf.DUMMYFUNCTION("IMPORTRANGE(""https://docs.google.com/spreadsheets/d/1Yj_ptqi66GCucihVvJfMjLAmec39IyEx_6qawtMGysU/edit?usp=sharing"",""สบก!N46"")"),0)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IFERROR(__xludf.DUMMYFUNCTION("IMPORTRANGE(""https://docs.google.com/spreadsheets/d/1Yj_ptqi66GCucihVvJfMjLAmec39IyEx_6qawtMGysU/edit?usp=sharing"",""สบก!O46"")"),0)</f>
        <v>0</v>
      </c>
      <c r="M49" s="536"/>
      <c r="N49" s="533">
        <f ca="1">IFERROR(__xludf.DUMMYFUNCTION("IMPORTRANGE(""https://docs.google.com/spreadsheets/d/1Yj_ptqi66GCucihVvJfMjLAmec39IyEx_6qawtMGysU/edit?usp=sharing"",""สบก!S46"")"),0)</f>
        <v>0</v>
      </c>
      <c r="O49" s="536">
        <f ca="1">IF(L49&gt;0,N49*100/L49,0)</f>
        <v>0</v>
      </c>
      <c r="P49" s="53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245724</v>
      </c>
      <c r="N53" s="121">
        <f t="shared" ca="1" si="39"/>
        <v>194179</v>
      </c>
      <c r="O53" s="120">
        <f t="shared" ref="O53:O55" ca="1" si="40">IF(L53&gt;0,N53*100/L53,0)</f>
        <v>39.563773431132844</v>
      </c>
      <c r="P53" s="120">
        <f t="shared" ref="P53:P55" ca="1" si="41">IF(M53&gt;0,N53*100/M53,0)</f>
        <v>79.023213035763703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245724</v>
      </c>
      <c r="N55" s="121">
        <f t="shared" ca="1" si="43"/>
        <v>194179</v>
      </c>
      <c r="O55" s="120">
        <f t="shared" ca="1" si="40"/>
        <v>39.563773431132844</v>
      </c>
      <c r="P55" s="120">
        <f t="shared" ca="1" si="41"/>
        <v>79.023213035763703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533">
        <f ca="1">IFERROR(__xludf.DUMMYFUNCTION("IMPORTRANGE(""https://docs.google.com/spreadsheets/d/1Yj_ptqi66GCucihVvJfMjLAmec39IyEx_6qawtMGysU/edit?usp=sharing"",""สบก!Z46"")"),245724)</f>
        <v>245724</v>
      </c>
      <c r="N57" s="533">
        <f ca="1">IFERROR(__xludf.DUMMYFUNCTION("IMPORTRANGE(""https://docs.google.com/spreadsheets/d/1Yj_ptqi66GCucihVvJfMjLAmec39IyEx_6qawtMGysU/edit?usp=sharing"",""สบก!AA46"")"),194179)</f>
        <v>194179</v>
      </c>
      <c r="O57" s="534">
        <f ca="1">IF(L57&gt;0,N57*100/L57,0)</f>
        <v>39.563773431132844</v>
      </c>
      <c r="P57" s="534">
        <f ca="1">IF(M57&gt;0,N57*100/M57,0)</f>
        <v>79.023213035763703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IFERROR(__xludf.DUMMYFUNCTION("IMPORTRANGE(""https://docs.google.com/spreadsheets/d/1Yj_ptqi66GCucihVvJfMjLAmec39IyEx_6qawtMGysU/edit?usp=sharing"",""สบก!V46"")"),490800)</f>
        <v>490800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IFERROR(__xludf.DUMMYFUNCTION("IMPORTRANGE(""https://docs.google.com/spreadsheets/d/1Yj_ptqi66GCucihVvJfMjLAmec39IyEx_6qawtMGysU/edit?usp=sharing"",""สบก!W46"")"),0)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IFERROR(__xludf.DUMMYFUNCTION("IMPORTRANGE(""https://docs.google.com/spreadsheets/d/1Yj_ptqi66GCucihVvJfMjLAmec39IyEx_6qawtMGysU/edit?usp=sharing"",""สบก!X46"")"),0)</f>
        <v>0</v>
      </c>
      <c r="M61" s="536"/>
      <c r="N61" s="533">
        <f ca="1">IFERROR(__xludf.DUMMYFUNCTION("IMPORTRANGE(""https://docs.google.com/spreadsheets/d/1Yj_ptqi66GCucihVvJfMjLAmec39IyEx_6qawtMGysU/edit?usp=sharing"",""สบก!AB46"")"),0)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510400</v>
      </c>
      <c r="N66" s="152">
        <f t="shared" ca="1" si="45"/>
        <v>438945</v>
      </c>
      <c r="O66" s="151">
        <f t="shared" ref="O66:O68" ca="1" si="46">IF(L66&gt;0,N66*100/L66,0)</f>
        <v>50.119319479333178</v>
      </c>
      <c r="P66" s="151">
        <f t="shared" ref="P66:P68" ca="1" si="47">IF(M66&gt;0,N66*100/M66,0)</f>
        <v>86.000195924764895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510400</v>
      </c>
      <c r="N68" s="157">
        <f t="shared" ca="1" si="49"/>
        <v>438945</v>
      </c>
      <c r="O68" s="156">
        <f t="shared" ca="1" si="46"/>
        <v>50.119319479333178</v>
      </c>
      <c r="P68" s="156">
        <f t="shared" ca="1" si="47"/>
        <v>86.000195924764895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875800</v>
      </c>
      <c r="M70" s="537">
        <f ca="1">IFERROR(__xludf.DUMMYFUNCTION("IMPORTRANGE(""https://docs.google.com/spreadsheets/d/1Yj_ptqi66GCucihVvJfMjLAmec39IyEx_6qawtMGysU/edit?usp=sharing"",""สบก!AI46"")"),510400)</f>
        <v>510400</v>
      </c>
      <c r="N70" s="538">
        <f ca="1">IFERROR(__xludf.DUMMYFUNCTION("IMPORTRANGE(""https://docs.google.com/spreadsheets/d/1Yj_ptqi66GCucihVvJfMjLAmec39IyEx_6qawtMGysU/edit?usp=sharing"",""สบก!AJ46"")"),438945)</f>
        <v>438945</v>
      </c>
      <c r="O70" s="170">
        <f ca="1">IF(L70&gt;0,N70*100/L70,0)</f>
        <v>50.119319479333178</v>
      </c>
      <c r="P70" s="170">
        <f ca="1">IF(M70&gt;0,N70*100/M70,0)</f>
        <v>86.000195924764895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IFERROR(__xludf.DUMMYFUNCTION("IMPORTRANGE(""https://docs.google.com/spreadsheets/d/1Yj_ptqi66GCucihVvJfMjLAmec39IyEx_6qawtMGysU/edit?usp=sharing"",""สบก!AE46"")"),193800)</f>
        <v>193800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IFERROR(__xludf.DUMMYFUNCTION("IMPORTRANGE(""https://docs.google.com/spreadsheets/d/1Yj_ptqi66GCucihVvJfMjLAmec39IyEx_6qawtMGysU/edit?usp=sharing"",""สบก!AF46"")"),682000)</f>
        <v>682000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IFERROR(__xludf.DUMMYFUNCTION("IMPORTRANGE(""https://docs.google.com/spreadsheets/d/1Yj_ptqi66GCucihVvJfMjLAmec39IyEx_6qawtMGysU/edit?usp=sharing"",""สบก!AG46"")"),0)</f>
        <v>0</v>
      </c>
      <c r="M74" s="536"/>
      <c r="N74" s="533">
        <f ca="1">IFERROR(__xludf.DUMMYFUNCTION("IMPORTRANGE(""https://docs.google.com/spreadsheets/d/1Yj_ptqi66GCucihVvJfMjLAmec39IyEx_6qawtMGysU/edit?usp=sharing"",""สบก!AK46"")"),0)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IFERROR(__xludf.DUMMYFUNCTION("IMPORTRANGE(""https://docs.google.com/spreadsheets/d/1XL5vhW3sbDhbH9Cz0tuDiY8C3ctxq1tqvaCgkFb8cCA/edit?usp=sharing"",""มุกดาหาร!J16"")"),0)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IFERROR(__xludf.DUMMYFUNCTION("IMPORTRANGE(""https://docs.google.com/spreadsheets/d/1XL5vhW3sbDhbH9Cz0tuDiY8C3ctxq1tqvaCgkFb8cCA/edit?usp=sharing"",""มุกดาหาร!J17"")"),1)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IFERROR(__xludf.DUMMYFUNCTION("IMPORTRANGE(""https://docs.google.com/spreadsheets/d/1XL5vhW3sbDhbH9Cz0tuDiY8C3ctxq1tqvaCgkFb8cCA/edit?usp=sharing"",""มุกดาหาร!J18"")"),1)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IFERROR(__xludf.DUMMYFUNCTION("IMPORTRANGE(""https://docs.google.com/spreadsheets/d/1XL5vhW3sbDhbH9Cz0tuDiY8C3ctxq1tqvaCgkFb8cCA/edit?usp=sharing"",""มุกดาหาร!J19"")"),0)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IFERROR(__xludf.DUMMYFUNCTION("IMPORTRANGE(""https://docs.google.com/spreadsheets/d/1XL5vhW3sbDhbH9Cz0tuDiY8C3ctxq1tqvaCgkFb8cCA/edit?usp=sharing"",""มุกดาหาร!I20"")"),2)</f>
        <v>2</v>
      </c>
      <c r="J80" s="202">
        <f ca="1">IFERROR(__xludf.DUMMYFUNCTION("IMPORTRANGE(""https://docs.google.com/spreadsheets/d/1XL5vhW3sbDhbH9Cz0tuDiY8C3ctxq1tqvaCgkFb8cCA/edit?usp=sharing"",""มุกดาหาร!J20"")"),2)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IFERROR(__xludf.DUMMYFUNCTION("IMPORTRANGE(""https://docs.google.com/spreadsheets/d/1XL5vhW3sbDhbH9Cz0tuDiY8C3ctxq1tqvaCgkFb8cCA/edit?usp=sharing"",""มุกดาหาร!I21"")"),80)</f>
        <v>80</v>
      </c>
      <c r="J81" s="202">
        <f ca="1">IFERROR(__xludf.DUMMYFUNCTION("IMPORTRANGE(""https://docs.google.com/spreadsheets/d/1XL5vhW3sbDhbH9Cz0tuDiY8C3ctxq1tqvaCgkFb8cCA/edit?usp=sharing"",""มุกดาหาร!J21"")"),80)</f>
        <v>80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IFERROR(__xludf.DUMMYFUNCTION("IMPORTRANGE(""https://docs.google.com/spreadsheets/d/1XL5vhW3sbDhbH9Cz0tuDiY8C3ctxq1tqvaCgkFb8cCA/edit?usp=sharing"",""มุกดาหาร!I22"")"),0)</f>
        <v>0</v>
      </c>
      <c r="J82" s="205">
        <f ca="1">IFERROR(__xludf.DUMMYFUNCTION("IMPORTRANGE(""https://docs.google.com/spreadsheets/d/1XL5vhW3sbDhbH9Cz0tuDiY8C3ctxq1tqvaCgkFb8cCA/edit?usp=sharing"",""มุกดาหาร!J22"")"),0)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IFERROR(__xludf.DUMMYFUNCTION("IMPORTRANGE(""https://docs.google.com/spreadsheets/d/1XL5vhW3sbDhbH9Cz0tuDiY8C3ctxq1tqvaCgkFb8cCA/edit?usp=sharing"",""มุกดาหาร!I23"")"),0)</f>
        <v>0</v>
      </c>
      <c r="J83" s="205">
        <f ca="1">IFERROR(__xludf.DUMMYFUNCTION("IMPORTRANGE(""https://docs.google.com/spreadsheets/d/1XL5vhW3sbDhbH9Cz0tuDiY8C3ctxq1tqvaCgkFb8cCA/edit?usp=sharing"",""มุกดาหาร!J23"")"),0)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IFERROR(__xludf.DUMMYFUNCTION("IMPORTRANGE(""https://docs.google.com/spreadsheets/d/1XL5vhW3sbDhbH9Cz0tuDiY8C3ctxq1tqvaCgkFb8cCA/edit?usp=sharing"",""มุกดาหาร!I24"")"),1)</f>
        <v>1</v>
      </c>
      <c r="J84" s="190">
        <f ca="1">IFERROR(__xludf.DUMMYFUNCTION("IMPORTRANGE(""https://docs.google.com/spreadsheets/d/1XL5vhW3sbDhbH9Cz0tuDiY8C3ctxq1tqvaCgkFb8cCA/edit?usp=sharing"",""มุกดาหาร!J24"")"),1)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IFERROR(__xludf.DUMMYFUNCTION("IMPORTRANGE(""https://docs.google.com/spreadsheets/d/1XL5vhW3sbDhbH9Cz0tuDiY8C3ctxq1tqvaCgkFb8cCA/edit?usp=sharing"",""มุกดาหาร!I25"")"),30)</f>
        <v>30</v>
      </c>
      <c r="J85" s="190">
        <f ca="1">IFERROR(__xludf.DUMMYFUNCTION("IMPORTRANGE(""https://docs.google.com/spreadsheets/d/1XL5vhW3sbDhbH9Cz0tuDiY8C3ctxq1tqvaCgkFb8cCA/edit?usp=sharing"",""มุกดาหาร!J25"")"),30)</f>
        <v>30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IFERROR(__xludf.DUMMYFUNCTION("IMPORTRANGE(""https://docs.google.com/spreadsheets/d/1XL5vhW3sbDhbH9Cz0tuDiY8C3ctxq1tqvaCgkFb8cCA/edit?usp=sharing"",""มุกดาหาร!I26"")"),1)</f>
        <v>1</v>
      </c>
      <c r="J86" s="205">
        <f ca="1">IFERROR(__xludf.DUMMYFUNCTION("IMPORTRANGE(""https://docs.google.com/spreadsheets/d/1XL5vhW3sbDhbH9Cz0tuDiY8C3ctxq1tqvaCgkFb8cCA/edit?usp=sharing"",""มุกดาหาร!J26"")"),1)</f>
        <v>1</v>
      </c>
      <c r="K86" s="165">
        <f t="shared" ca="1" si="50"/>
        <v>100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IFERROR(__xludf.DUMMYFUNCTION("IMPORTRANGE(""https://docs.google.com/spreadsheets/d/1XL5vhW3sbDhbH9Cz0tuDiY8C3ctxq1tqvaCgkFb8cCA/edit?usp=sharing"",""มุกดาหาร!I27"")"),50)</f>
        <v>50</v>
      </c>
      <c r="J87" s="205">
        <f ca="1">IFERROR(__xludf.DUMMYFUNCTION("IMPORTRANGE(""https://docs.google.com/spreadsheets/d/1XL5vhW3sbDhbH9Cz0tuDiY8C3ctxq1tqvaCgkFb8cCA/edit?usp=sharing"",""มุกดาหาร!J27"")"),50)</f>
        <v>50</v>
      </c>
      <c r="K87" s="165">
        <f t="shared" ca="1" si="50"/>
        <v>100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IFERROR(__xludf.DUMMYFUNCTION("IMPORTRANGE(""https://docs.google.com/spreadsheets/d/1XL5vhW3sbDhbH9Cz0tuDiY8C3ctxq1tqvaCgkFb8cCA/edit?usp=sharing"",""มุกดาหาร!I28"")"),0)</f>
        <v>0</v>
      </c>
      <c r="J88" s="205">
        <f ca="1">IFERROR(__xludf.DUMMYFUNCTION("IMPORTRANGE(""https://docs.google.com/spreadsheets/d/1XL5vhW3sbDhbH9Cz0tuDiY8C3ctxq1tqvaCgkFb8cCA/edit?usp=sharing"",""มุกดาหาร!J28"")"),0)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IFERROR(__xludf.DUMMYFUNCTION("IMPORTRANGE(""https://docs.google.com/spreadsheets/d/1XL5vhW3sbDhbH9Cz0tuDiY8C3ctxq1tqvaCgkFb8cCA/edit?usp=sharing"",""มุกดาหาร!J29"")"),0)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133828</v>
      </c>
      <c r="O94" s="151">
        <f t="shared" ref="O94:O96" ca="1" si="53">IF(L94&gt;0,N94*100/L94,0)</f>
        <v>62.390675990675987</v>
      </c>
      <c r="P94" s="151">
        <f t="shared" ref="P94:P96" ca="1" si="54">IF(M94&gt;0,N94*100/M94,0)</f>
        <v>83.055917582076589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133828</v>
      </c>
      <c r="O96" s="156">
        <f t="shared" ca="1" si="53"/>
        <v>62.390675990675987</v>
      </c>
      <c r="P96" s="156">
        <f t="shared" ca="1" si="54"/>
        <v>83.055917582076589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IFERROR(__xludf.DUMMYFUNCTION("IMPORTRANGE(""https://docs.google.com/spreadsheets/d/1Yj_ptqi66GCucihVvJfMjLAmec39IyEx_6qawtMGysU/edit?usp=sharing"",""สบก!AR46"")"),68730)</f>
        <v>68730</v>
      </c>
      <c r="N98" s="538">
        <f ca="1">IFERROR(__xludf.DUMMYFUNCTION("IMPORTRANGE(""https://docs.google.com/spreadsheets/d/1Yj_ptqi66GCucihVvJfMjLAmec39IyEx_6qawtMGysU/edit?usp=sharing"",""สบก!AS46"")"),41428)</f>
        <v>41428</v>
      </c>
      <c r="O98" s="170">
        <f ca="1">IF(L98&gt;0,N98*100/L98,0)</f>
        <v>33.929565929565932</v>
      </c>
      <c r="P98" s="170">
        <f ca="1">IF(M98&gt;0,N98*100/M98,0)</f>
        <v>60.276444056452789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IFERROR(__xludf.DUMMYFUNCTION("IMPORTRANGE(""https://docs.google.com/spreadsheets/d/1Yj_ptqi66GCucihVvJfMjLAmec39IyEx_6qawtMGysU/edit?usp=sharing"",""สบก!AN46"")"),0)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IFERROR(__xludf.DUMMYFUNCTION("IMPORTRANGE(""https://docs.google.com/spreadsheets/d/1Yj_ptqi66GCucihVvJfMjLAmec39IyEx_6qawtMGysU/edit?usp=sharing"",""สบก!AO46"")"),122100)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IFERROR(__xludf.DUMMYFUNCTION("IMPORTRANGE(""https://docs.google.com/spreadsheets/d/1Yj_ptqi66GCucihVvJfMjLAmec39IyEx_6qawtMGysU/edit?usp=sharing"",""สบก!AP46"")"),92400)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IFERROR(__xludf.DUMMYFUNCTION("IMPORTRANGE(""https://docs.google.com/spreadsheets/d/1Yj_ptqi66GCucihVvJfMjLAmec39IyEx_6qawtMGysU/edit?usp=sharing"",""สบก!AT46"")"),92400)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IFERROR(__xludf.DUMMYFUNCTION("IMPORTRANGE(""https://docs.google.com/spreadsheets/d/1XL5vhW3sbDhbH9Cz0tuDiY8C3ctxq1tqvaCgkFb8cCA/edit?usp=sharing"",""มุกดาหาร!I43"")"),1)</f>
        <v>1</v>
      </c>
      <c r="J108" s="205">
        <f ca="1">IFERROR(__xludf.DUMMYFUNCTION("IMPORTRANGE(""https://docs.google.com/spreadsheets/d/1XL5vhW3sbDhbH9Cz0tuDiY8C3ctxq1tqvaCgkFb8cCA/edit?usp=sharing"",""มุกดาหาร!J43"")"),0)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IFERROR(__xludf.DUMMYFUNCTION("IMPORTRANGE(""https://docs.google.com/spreadsheets/d/1XL5vhW3sbDhbH9Cz0tuDiY8C3ctxq1tqvaCgkFb8cCA/edit?usp=sharing"",""มุกดาหาร!I44"")"),4)</f>
        <v>4</v>
      </c>
      <c r="J109" s="205">
        <f ca="1">IFERROR(__xludf.DUMMYFUNCTION("IMPORTRANGE(""https://docs.google.com/spreadsheets/d/1XL5vhW3sbDhbH9Cz0tuDiY8C3ctxq1tqvaCgkFb8cCA/edit?usp=sharing"",""มุกดาหาร!J44"")"),0)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IFERROR(__xludf.DUMMYFUNCTION("IMPORTRANGE(""https://docs.google.com/spreadsheets/d/1XL5vhW3sbDhbH9Cz0tuDiY8C3ctxq1tqvaCgkFb8cCA/edit?usp=sharing"",""มุกดาหาร!I45"")"),4)</f>
        <v>4</v>
      </c>
      <c r="J110" s="205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IFERROR(__xludf.DUMMYFUNCTION("IMPORTRANGE(""https://docs.google.com/spreadsheets/d/1XL5vhW3sbDhbH9Cz0tuDiY8C3ctxq1tqvaCgkFb8cCA/edit?usp=sharing"",""มุกดาหาร!I46"")"),4)</f>
        <v>4</v>
      </c>
      <c r="J111" s="205">
        <f ca="1">IFERROR(__xludf.DUMMYFUNCTION("IMPORTRANGE(""https://docs.google.com/spreadsheets/d/1XL5vhW3sbDhbH9Cz0tuDiY8C3ctxq1tqvaCgkFb8cCA/edit?usp=sharing"",""มุกดาหาร!J46"")"),0)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IFERROR(__xludf.DUMMYFUNCTION("IMPORTRANGE(""https://docs.google.com/spreadsheets/d/1XL5vhW3sbDhbH9Cz0tuDiY8C3ctxq1tqvaCgkFb8cCA/edit?usp=sharing"",""มุกดาหาร!I47"")"),4)</f>
        <v>4</v>
      </c>
      <c r="J112" s="205">
        <f ca="1">IFERROR(__xludf.DUMMYFUNCTION("IMPORTRANGE(""https://docs.google.com/spreadsheets/d/1XL5vhW3sbDhbH9Cz0tuDiY8C3ctxq1tqvaCgkFb8cCA/edit?usp=sharing"",""มุกดาหาร!J47"")"),0)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IFERROR(__xludf.DUMMYFUNCTION("IMPORTRANGE(""https://docs.google.com/spreadsheets/d/1XL5vhW3sbDhbH9Cz0tuDiY8C3ctxq1tqvaCgkFb8cCA/edit?usp=sharing"",""มุกดาหาร!I48"")"),1)</f>
        <v>1</v>
      </c>
      <c r="J113" s="205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IFERROR(__xludf.DUMMYFUNCTION("IMPORTRANGE(""https://docs.google.com/spreadsheets/d/1Yj_ptqi66GCucihVvJfMjLAmec39IyEx_6qawtMGysU/edit?usp=sharing"",""สบก!BA46"")"),0)</f>
        <v>0</v>
      </c>
      <c r="N122" s="538">
        <f ca="1">IFERROR(__xludf.DUMMYFUNCTION("IMPORTRANGE(""https://docs.google.com/spreadsheets/d/1Yj_ptqi66GCucihVvJfMjLAmec39IyEx_6qawtMGysU/edit?usp=sharing"",""สบก!BB46"")"),0)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IFERROR(__xludf.DUMMYFUNCTION("IMPORTRANGE(""https://docs.google.com/spreadsheets/d/1Yj_ptqi66GCucihVvJfMjLAmec39IyEx_6qawtMGysU/edit?usp=sharing"",""สบก!AW46"")"),0)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IFERROR(__xludf.DUMMYFUNCTION("IMPORTRANGE(""https://docs.google.com/spreadsheets/d/1Yj_ptqi66GCucihVvJfMjLAmec39IyEx_6qawtMGysU/edit?usp=sharing"",""สบก!AX46"")"),0)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IFERROR(__xludf.DUMMYFUNCTION("IMPORTRANGE(""https://docs.google.com/spreadsheets/d/1Yj_ptqi66GCucihVvJfMjLAmec39IyEx_6qawtMGysU/edit?usp=sharing"",""สบก!AY46"")"),0)</f>
        <v>0</v>
      </c>
      <c r="M126" s="536"/>
      <c r="N126" s="533">
        <f ca="1">IFERROR(__xludf.DUMMYFUNCTION("IMPORTRANGE(""https://docs.google.com/spreadsheets/d/1Yj_ptqi66GCucihVvJfMjLAmec39IyEx_6qawtMGysU/edit?usp=sharing"",""สบก!BC46"")"),0)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255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IFERROR(__xludf.DUMMYFUNCTION("IMPORTRANGE(""https://docs.google.com/spreadsheets/d/1XL5vhW3sbDhbH9Cz0tuDiY8C3ctxq1tqvaCgkFb8cCA/edit?usp=sharing"",""มุกดาหาร!I62"")"),0)</f>
        <v>0</v>
      </c>
      <c r="J132" s="205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IFERROR(__xludf.DUMMYFUNCTION("IMPORTRANGE(""https://docs.google.com/spreadsheets/d/1XL5vhW3sbDhbH9Cz0tuDiY8C3ctxq1tqvaCgkFb8cCA/edit?usp=sharing"",""มุกดาหาร!I63"")"),0)</f>
        <v>0</v>
      </c>
      <c r="J133" s="205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227500</v>
      </c>
      <c r="M140" s="152">
        <f t="shared" ca="1" si="64"/>
        <v>144750</v>
      </c>
      <c r="N140" s="152">
        <f t="shared" ca="1" si="64"/>
        <v>100560</v>
      </c>
      <c r="O140" s="151">
        <f t="shared" ref="O140:O142" ca="1" si="65">IF(L140&gt;0,N140*100/L140,0)</f>
        <v>44.202197802197801</v>
      </c>
      <c r="P140" s="151">
        <f t="shared" ref="P140:P142" ca="1" si="66">IF(M140&gt;0,N140*100/M140,0)</f>
        <v>69.47150259067358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227500</v>
      </c>
      <c r="M142" s="157">
        <f t="shared" ca="1" si="68"/>
        <v>144750</v>
      </c>
      <c r="N142" s="157">
        <f t="shared" ca="1" si="68"/>
        <v>100560</v>
      </c>
      <c r="O142" s="156">
        <f t="shared" ca="1" si="65"/>
        <v>44.202197802197801</v>
      </c>
      <c r="P142" s="156">
        <f t="shared" ca="1" si="66"/>
        <v>69.47150259067358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227500</v>
      </c>
      <c r="M144" s="537">
        <f ca="1">IFERROR(__xludf.DUMMYFUNCTION("IMPORTRANGE(""https://docs.google.com/spreadsheets/d/1Yj_ptqi66GCucihVvJfMjLAmec39IyEx_6qawtMGysU/edit?usp=sharing"",""สบก!BJ46"")"),144750)</f>
        <v>144750</v>
      </c>
      <c r="N144" s="538">
        <f ca="1">IFERROR(__xludf.DUMMYFUNCTION("IMPORTRANGE(""https://docs.google.com/spreadsheets/d/1Yj_ptqi66GCucihVvJfMjLAmec39IyEx_6qawtMGysU/edit?usp=sharing"",""สบก!BK46"")"),100560)</f>
        <v>100560</v>
      </c>
      <c r="O144" s="170">
        <f ca="1">IF(L144&gt;0,N144*100/L144,0)</f>
        <v>44.202197802197801</v>
      </c>
      <c r="P144" s="170">
        <f ca="1">IF(M144&gt;0,N144*100/M144,0)</f>
        <v>69.47150259067358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IFERROR(__xludf.DUMMYFUNCTION("IMPORTRANGE(""https://docs.google.com/spreadsheets/d/1Yj_ptqi66GCucihVvJfMjLAmec39IyEx_6qawtMGysU/edit?usp=sharing"",""สบก!BF46"")"),132000)</f>
        <v>132000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IFERROR(__xludf.DUMMYFUNCTION("IMPORTRANGE(""https://docs.google.com/spreadsheets/d/1Yj_ptqi66GCucihVvJfMjLAmec39IyEx_6qawtMGysU/edit?usp=sharing"",""สบก!BG46"")"),95500)</f>
        <v>95500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IFERROR(__xludf.DUMMYFUNCTION("IMPORTRANGE(""https://docs.google.com/spreadsheets/d/1Yj_ptqi66GCucihVvJfMjLAmec39IyEx_6qawtMGysU/edit?usp=sharing"",""สบก!BH46"")"),0)</f>
        <v>0</v>
      </c>
      <c r="M148" s="536"/>
      <c r="N148" s="533">
        <f ca="1">IFERROR(__xludf.DUMMYFUNCTION("IMPORTRANGE(""https://docs.google.com/spreadsheets/d/1Yj_ptqi66GCucihVvJfMjLAmec39IyEx_6qawtMGysU/edit?usp=sharing"",""สบก!BL46"")"),0)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IFERROR(__xludf.DUMMYFUNCTION("IMPORTRANGE(""https://docs.google.com/spreadsheets/d/1XL5vhW3sbDhbH9Cz0tuDiY8C3ctxq1tqvaCgkFb8cCA/edit?usp=sharing"",""มุกดาหาร!J79"")"),0)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IFERROR(__xludf.DUMMYFUNCTION("IMPORTRANGE(""https://docs.google.com/spreadsheets/d/1XL5vhW3sbDhbH9Cz0tuDiY8C3ctxq1tqvaCgkFb8cCA/edit?usp=sharing"",""มุกดาหาร!J80"")"),1)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IFERROR(__xludf.DUMMYFUNCTION("IMPORTRANGE(""https://docs.google.com/spreadsheets/d/1XL5vhW3sbDhbH9Cz0tuDiY8C3ctxq1tqvaCgkFb8cCA/edit?usp=sharing"",""มุกดาหาร!J81"")"),0)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IFERROR(__xludf.DUMMYFUNCTION("IMPORTRANGE(""https://docs.google.com/spreadsheets/d/1XL5vhW3sbDhbH9Cz0tuDiY8C3ctxq1tqvaCgkFb8cCA/edit?usp=sharing"",""มุกดาหาร!J82"")"),0)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IFERROR(__xludf.DUMMYFUNCTION("IMPORTRANGE(""https://docs.google.com/spreadsheets/d/1XL5vhW3sbDhbH9Cz0tuDiY8C3ctxq1tqvaCgkFb8cCA/edit?usp=sharing"",""มุกดาหาร!I83"")"),4)</f>
        <v>4</v>
      </c>
      <c r="J158" s="190">
        <f ca="1">IFERROR(__xludf.DUMMYFUNCTION("IMPORTRANGE(""https://docs.google.com/spreadsheets/d/1XL5vhW3sbDhbH9Cz0tuDiY8C3ctxq1tqvaCgkFb8cCA/edit?usp=sharing"",""มุกดาหาร!J83"")"),0)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IFERROR(__xludf.DUMMYFUNCTION("IMPORTRANGE(""https://docs.google.com/spreadsheets/d/1XL5vhW3sbDhbH9Cz0tuDiY8C3ctxq1tqvaCgkFb8cCA/edit?usp=sharing"",""มุกดาหาร!J84"")"),0)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IFERROR(__xludf.DUMMYFUNCTION("IMPORTRANGE(""https://docs.google.com/spreadsheets/d/1XL5vhW3sbDhbH9Cz0tuDiY8C3ctxq1tqvaCgkFb8cCA/edit?usp=sharing"",""มุกดาหาร!J85"")"),0)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IFERROR(__xludf.DUMMYFUNCTION("IMPORTRANGE(""https://docs.google.com/spreadsheets/d/1XL5vhW3sbDhbH9Cz0tuDiY8C3ctxq1tqvaCgkFb8cCA/edit?usp=sharing"",""มุกดาหาร!J86"")"),0)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IFERROR(__xludf.DUMMYFUNCTION("IMPORTRANGE(""https://docs.google.com/spreadsheets/d/1XL5vhW3sbDhbH9Cz0tuDiY8C3ctxq1tqvaCgkFb8cCA/edit?usp=sharing"",""มุกดาหาร!J87"")"),0)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IFERROR(__xludf.DUMMYFUNCTION("IMPORTRANGE(""https://docs.google.com/spreadsheets/d/1XL5vhW3sbDhbH9Cz0tuDiY8C3ctxq1tqvaCgkFb8cCA/edit?usp=sharing"",""มุกดาหาร!I89"")"),3)</f>
        <v>3</v>
      </c>
      <c r="J164" s="284">
        <f ca="1">IFERROR(__xludf.DUMMYFUNCTION("IMPORTRANGE(""https://docs.google.com/spreadsheets/d/1XL5vhW3sbDhbH9Cz0tuDiY8C3ctxq1tqvaCgkFb8cCA/edit?usp=sharing"",""มุกดาหาร!J89"")"),0)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IFERROR(__xludf.DUMMYFUNCTION("IMPORTRANGE(""https://docs.google.com/spreadsheets/d/1XL5vhW3sbDhbH9Cz0tuDiY8C3ctxq1tqvaCgkFb8cCA/edit?usp=sharing"",""มุกดาหาร!J94"")"),0)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IFERROR(__xludf.DUMMYFUNCTION("IMPORTRANGE(""https://docs.google.com/spreadsheets/d/1XL5vhW3sbDhbH9Cz0tuDiY8C3ctxq1tqvaCgkFb8cCA/edit?usp=sharing"",""มุกดาหาร!J95"")"),1)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IFERROR(__xludf.DUMMYFUNCTION("IMPORTRANGE(""https://docs.google.com/spreadsheets/d/1XL5vhW3sbDhbH9Cz0tuDiY8C3ctxq1tqvaCgkFb8cCA/edit?usp=sharing"",""มุกดาหาร!J96"")"),1)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IFERROR(__xludf.DUMMYFUNCTION("IMPORTRANGE(""https://docs.google.com/spreadsheets/d/1XL5vhW3sbDhbH9Cz0tuDiY8C3ctxq1tqvaCgkFb8cCA/edit?usp=sharing"",""มุกดาหาร!J97"")"),0)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IFERROR(__xludf.DUMMYFUNCTION("IMPORTRANGE(""https://docs.google.com/spreadsheets/d/1XL5vhW3sbDhbH9Cz0tuDiY8C3ctxq1tqvaCgkFb8cCA/edit?usp=sharing"",""มุกดาหาร!I98"")"),3)</f>
        <v>3</v>
      </c>
      <c r="J173" s="190">
        <f ca="1">IFERROR(__xludf.DUMMYFUNCTION("IMPORTRANGE(""https://docs.google.com/spreadsheets/d/1XL5vhW3sbDhbH9Cz0tuDiY8C3ctxq1tqvaCgkFb8cCA/edit?usp=sharing"",""มุกดาหาร!J98"")"),0)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IFERROR(__xludf.DUMMYFUNCTION("IMPORTRANGE(""https://docs.google.com/spreadsheets/d/1XL5vhW3sbDhbH9Cz0tuDiY8C3ctxq1tqvaCgkFb8cCA/edit?usp=sharing"",""มุกดาหาร!J99"")"),0)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IFERROR(__xludf.DUMMYFUNCTION("IMPORTRANGE(""https://docs.google.com/spreadsheets/d/1XL5vhW3sbDhbH9Cz0tuDiY8C3ctxq1tqvaCgkFb8cCA/edit?usp=sharing"",""มุกดาหาร!J100"")"),0)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IFERROR(__xludf.DUMMYFUNCTION("IMPORTRANGE(""https://docs.google.com/spreadsheets/d/1XL5vhW3sbDhbH9Cz0tuDiY8C3ctxq1tqvaCgkFb8cCA/edit?usp=sharing"",""มุกดาหาร!I101"")"),1)</f>
        <v>1</v>
      </c>
      <c r="J176" s="284">
        <f ca="1">IFERROR(__xludf.DUMMYFUNCTION("IMPORTRANGE(""https://docs.google.com/spreadsheets/d/1XL5vhW3sbDhbH9Cz0tuDiY8C3ctxq1tqvaCgkFb8cCA/edit?usp=sharing"",""มุกดาหาร!J101"")"),0)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IFERROR(__xludf.DUMMYFUNCTION("IMPORTRANGE(""https://docs.google.com/spreadsheets/d/1XL5vhW3sbDhbH9Cz0tuDiY8C3ctxq1tqvaCgkFb8cCA/edit?usp=sharing"",""มุกดาหาร!I110"")"),1)</f>
        <v>1</v>
      </c>
      <c r="J185" s="205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IFERROR(__xludf.DUMMYFUNCTION("IMPORTRANGE(""https://docs.google.com/spreadsheets/d/1XL5vhW3sbDhbH9Cz0tuDiY8C3ctxq1tqvaCgkFb8cCA/edit?usp=sharing"",""มุกดาหาร!I111"")"),1)</f>
        <v>1</v>
      </c>
      <c r="J186" s="205">
        <f ca="1">IFERROR(__xludf.DUMMYFUNCTION("IMPORTRANGE(""https://docs.google.com/spreadsheets/d/1XL5vhW3sbDhbH9Cz0tuDiY8C3ctxq1tqvaCgkFb8cCA/edit?usp=sharing"",""มุกดาหาร!J111"")"),0)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IFERROR(__xludf.DUMMYFUNCTION("IMPORTRANGE(""https://docs.google.com/spreadsheets/d/1XL5vhW3sbDhbH9Cz0tuDiY8C3ctxq1tqvaCgkFb8cCA/edit?usp=sharing"",""มุกดาหาร!I114"")"),40000)</f>
        <v>40000</v>
      </c>
      <c r="J189" s="284">
        <f ca="1">IFERROR(__xludf.DUMMYFUNCTION("IMPORTRANGE(""https://docs.google.com/spreadsheets/d/1XL5vhW3sbDhbH9Cz0tuDiY8C3ctxq1tqvaCgkFb8cCA/edit?usp=sharing"",""มุกดาหาร!J114"")"),0)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IFERROR(__xludf.DUMMYFUNCTION("IMPORTRANGE(""https://docs.google.com/spreadsheets/d/1XL5vhW3sbDhbH9Cz0tuDiY8C3ctxq1tqvaCgkFb8cCA/edit?usp=sharing"",""มุกดาหาร!J119"")"),0)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IFERROR(__xludf.DUMMYFUNCTION("IMPORTRANGE(""https://docs.google.com/spreadsheets/d/1XL5vhW3sbDhbH9Cz0tuDiY8C3ctxq1tqvaCgkFb8cCA/edit?usp=sharing"",""มุกดาหาร!J120"")"),1)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IFERROR(__xludf.DUMMYFUNCTION("IMPORTRANGE(""https://docs.google.com/spreadsheets/d/1XL5vhW3sbDhbH9Cz0tuDiY8C3ctxq1tqvaCgkFb8cCA/edit?usp=sharing"",""มุกดาหาร!J121"")"),1)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IFERROR(__xludf.DUMMYFUNCTION("IMPORTRANGE(""https://docs.google.com/spreadsheets/d/1XL5vhW3sbDhbH9Cz0tuDiY8C3ctxq1tqvaCgkFb8cCA/edit?usp=sharing"",""มุกดาหาร!J122"")"),0)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IFERROR(__xludf.DUMMYFUNCTION("IMPORTRANGE(""https://docs.google.com/spreadsheets/d/1XL5vhW3sbDhbH9Cz0tuDiY8C3ctxq1tqvaCgkFb8cCA/edit?usp=sharing"",""มุกดาหาร!I124"")"),40000)</f>
        <v>40000</v>
      </c>
      <c r="J199" s="190">
        <f ca="1">IFERROR(__xludf.DUMMYFUNCTION("IMPORTRANGE(""https://docs.google.com/spreadsheets/d/1XL5vhW3sbDhbH9Cz0tuDiY8C3ctxq1tqvaCgkFb8cCA/edit?usp=sharing"",""มุกดาหาร!J124"")"),0)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IFERROR(__xludf.DUMMYFUNCTION("IMPORTRANGE(""https://docs.google.com/spreadsheets/d/1XL5vhW3sbDhbH9Cz0tuDiY8C3ctxq1tqvaCgkFb8cCA/edit?usp=sharing"",""มุกดาหาร!I125"")"),40000)</f>
        <v>40000</v>
      </c>
      <c r="J200" s="190">
        <f ca="1">IFERROR(__xludf.DUMMYFUNCTION("IMPORTRANGE(""https://docs.google.com/spreadsheets/d/1XL5vhW3sbDhbH9Cz0tuDiY8C3ctxq1tqvaCgkFb8cCA/edit?usp=sharing"",""มุกดาหาร!J125"")"),0)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IFERROR(__xludf.DUMMYFUNCTION("IMPORTRANGE(""https://docs.google.com/spreadsheets/d/1XL5vhW3sbDhbH9Cz0tuDiY8C3ctxq1tqvaCgkFb8cCA/edit?usp=sharing"",""มุกดาหาร!I126"")"),15)</f>
        <v>15</v>
      </c>
      <c r="J201" s="190">
        <f ca="1">IFERROR(__xludf.DUMMYFUNCTION("IMPORTRANGE(""https://docs.google.com/spreadsheets/d/1XL5vhW3sbDhbH9Cz0tuDiY8C3ctxq1tqvaCgkFb8cCA/edit?usp=sharing"",""มุกดาหาร!J126"")"),0)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IFERROR(__xludf.DUMMYFUNCTION("IMPORTRANGE(""https://docs.google.com/spreadsheets/d/1XL5vhW3sbDhbH9Cz0tuDiY8C3ctxq1tqvaCgkFb8cCA/edit?usp=sharing"",""มุกดาหาร!J127"")"),0)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IFERROR(__xludf.DUMMYFUNCTION("IMPORTRANGE(""https://docs.google.com/spreadsheets/d/1XL5vhW3sbDhbH9Cz0tuDiY8C3ctxq1tqvaCgkFb8cCA/edit?usp=sharing"",""มุกดาหาร!J128"")"),0)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IFERROR(__xludf.DUMMYFUNCTION("IMPORTRANGE(""https://docs.google.com/spreadsheets/d/1XL5vhW3sbDhbH9Cz0tuDiY8C3ctxq1tqvaCgkFb8cCA/edit?usp=sharing"",""มุกดาหาร!I129"")"),0)</f>
        <v>0</v>
      </c>
      <c r="J204" s="284">
        <f ca="1">IFERROR(__xludf.DUMMYFUNCTION("IMPORTRANGE(""https://docs.google.com/spreadsheets/d/1XL5vhW3sbDhbH9Cz0tuDiY8C3ctxq1tqvaCgkFb8cCA/edit?usp=sharing"",""มุกดาหาร!J129"")"),0)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IFERROR(__xludf.DUMMYFUNCTION("IMPORTRANGE(""https://docs.google.com/spreadsheets/d/1XL5vhW3sbDhbH9Cz0tuDiY8C3ctxq1tqvaCgkFb8cCA/edit?usp=sharing"",""มุกดาหาร!I138"")"),0)</f>
        <v>0</v>
      </c>
      <c r="J213" s="205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IFERROR(__xludf.DUMMYFUNCTION("IMPORTRANGE(""https://docs.google.com/spreadsheets/d/1XL5vhW3sbDhbH9Cz0tuDiY8C3ctxq1tqvaCgkFb8cCA/edit?usp=sharing"",""มุกดาหาร!I140"")"),0)</f>
        <v>0</v>
      </c>
      <c r="J215" s="205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IFERROR(__xludf.DUMMYFUNCTION("IMPORTRANGE(""https://docs.google.com/spreadsheets/d/1XL5vhW3sbDhbH9Cz0tuDiY8C3ctxq1tqvaCgkFb8cCA/edit?usp=sharing"",""มุกดาหาร!I141"")"),0)</f>
        <v>0</v>
      </c>
      <c r="J216" s="205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537">
        <f ca="1">IFERROR(__xludf.DUMMYFUNCTION("IMPORTRANGE(""https://docs.google.com/spreadsheets/d/1Yj_ptqi66GCucihVvJfMjLAmec39IyEx_6qawtMGysU/edit?usp=sharing"",""สบก!BS46"")"),19295)</f>
        <v>19295</v>
      </c>
      <c r="N224" s="538">
        <f ca="1">IFERROR(__xludf.DUMMYFUNCTION("IMPORTRANGE(""https://docs.google.com/spreadsheets/d/1Yj_ptqi66GCucihVvJfMjLAmec39IyEx_6qawtMGysU/edit?usp=sharing"",""สบก!BT46"")"),19295)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IFERROR(__xludf.DUMMYFUNCTION("IMPORTRANGE(""https://docs.google.com/spreadsheets/d/1Yj_ptqi66GCucihVvJfMjLAmec39IyEx_6qawtMGysU/edit?usp=sharing"",""สบก!BO46"")"),0)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IFERROR(__xludf.DUMMYFUNCTION("IMPORTRANGE(""https://docs.google.com/spreadsheets/d/1Yj_ptqi66GCucihVvJfMjLAmec39IyEx_6qawtMGysU/edit?usp=sharing"",""สบก!BP46"")"),19295)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IFERROR(__xludf.DUMMYFUNCTION("IMPORTRANGE(""https://docs.google.com/spreadsheets/d/1Yj_ptqi66GCucihVvJfMjLAmec39IyEx_6qawtMGysU/edit?usp=sharing"",""สบก!BQ46"")"),0)</f>
        <v>0</v>
      </c>
      <c r="M228" s="536"/>
      <c r="N228" s="533">
        <f ca="1">IFERROR(__xludf.DUMMYFUNCTION("IMPORTRANGE(""https://docs.google.com/spreadsheets/d/1Yj_ptqi66GCucihVvJfMjLAmec39IyEx_6qawtMGysU/edit?usp=sharing"",""สบก!BU46"")"),0)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IFERROR(__xludf.DUMMYFUNCTION("IMPORTRANGE(""https://docs.google.com/spreadsheets/d/1XL5vhW3sbDhbH9Cz0tuDiY8C3ctxq1tqvaCgkFb8cCA/edit?usp=sharing"",""มุกดาหาร!J151"")"),0)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IFERROR(__xludf.DUMMYFUNCTION("IMPORTRANGE(""https://docs.google.com/spreadsheets/d/1XL5vhW3sbDhbH9Cz0tuDiY8C3ctxq1tqvaCgkFb8cCA/edit?usp=sharing"",""มุกดาหาร!J152"")"),1)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IFERROR(__xludf.DUMMYFUNCTION("IMPORTRANGE(""https://docs.google.com/spreadsheets/d/1XL5vhW3sbDhbH9Cz0tuDiY8C3ctxq1tqvaCgkFb8cCA/edit?usp=sharing"",""มุกดาหาร!J153"")"),1)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IFERROR(__xludf.DUMMYFUNCTION("IMPORTRANGE(""https://docs.google.com/spreadsheets/d/1XL5vhW3sbDhbH9Cz0tuDiY8C3ctxq1tqvaCgkFb8cCA/edit?usp=sharing"",""มุกดาหาร!J154"")"),1)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IFERROR(__xludf.DUMMYFUNCTION("IMPORTRANGE(""https://docs.google.com/spreadsheets/d/1XL5vhW3sbDhbH9Cz0tuDiY8C3ctxq1tqvaCgkFb8cCA/edit?usp=sharing"",""มุกดาหาร!I155"")"),13)</f>
        <v>13</v>
      </c>
      <c r="J235" s="190">
        <f ca="1">IFERROR(__xludf.DUMMYFUNCTION("IMPORTRANGE(""https://docs.google.com/spreadsheets/d/1XL5vhW3sbDhbH9Cz0tuDiY8C3ctxq1tqvaCgkFb8cCA/edit?usp=sharing"",""มุกดาหาร!J155"")"),13)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IFERROR(__xludf.DUMMYFUNCTION("IMPORTRANGE(""https://docs.google.com/spreadsheets/d/1XL5vhW3sbDhbH9Cz0tuDiY8C3ctxq1tqvaCgkFb8cCA/edit?usp=sharing"",""มุกดาหาร!J156"")"),0)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IFERROR(__xludf.DUMMYFUNCTION("IMPORTRANGE(""https://docs.google.com/spreadsheets/d/1XL5vhW3sbDhbH9Cz0tuDiY8C3ctxq1tqvaCgkFb8cCA/edit?usp=sharing"",""มุกดาหาร!J157"")"),0)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IFERROR(__xludf.DUMMYFUNCTION("IMPORTRANGE(""https://docs.google.com/spreadsheets/d/1XL5vhW3sbDhbH9Cz0tuDiY8C3ctxq1tqvaCgkFb8cCA/edit?usp=sharing"",""มุกดาหาร!J159"")"),"")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IFERROR(__xludf.DUMMYFUNCTION("IMPORTRANGE(""https://docs.google.com/spreadsheets/d/1XL5vhW3sbDhbH9Cz0tuDiY8C3ctxq1tqvaCgkFb8cCA/edit?usp=sharing"",""มุกดาหาร!J161"")"),0)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IFERROR(__xludf.DUMMYFUNCTION("IMPORTRANGE(""https://docs.google.com/spreadsheets/d/1XL5vhW3sbDhbH9Cz0tuDiY8C3ctxq1tqvaCgkFb8cCA/edit?usp=sharing"",""มุกดาหาร!J162"")"),0)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IFERROR(__xludf.DUMMYFUNCTION("IMPORTRANGE(""https://docs.google.com/spreadsheets/d/1XL5vhW3sbDhbH9Cz0tuDiY8C3ctxq1tqvaCgkFb8cCA/edit?usp=sharing"",""มุกดาหาร!J163"")"),0)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IFERROR(__xludf.DUMMYFUNCTION("IMPORTRANGE(""https://docs.google.com/spreadsheets/d/1XL5vhW3sbDhbH9Cz0tuDiY8C3ctxq1tqvaCgkFb8cCA/edit?usp=sharing"",""มุกดาหาร!I164"")"),0)</f>
        <v>0</v>
      </c>
      <c r="J244" s="189">
        <f ca="1">IFERROR(__xludf.DUMMYFUNCTION("IMPORTRANGE(""https://docs.google.com/spreadsheets/d/1XL5vhW3sbDhbH9Cz0tuDiY8C3ctxq1tqvaCgkFb8cCA/edit?usp=sharing"",""มุกดาหาร!J164"")"),0)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IFERROR(__xludf.DUMMYFUNCTION("IMPORTRANGE(""https://docs.google.com/spreadsheets/d/1XL5vhW3sbDhbH9Cz0tuDiY8C3ctxq1tqvaCgkFb8cCA/edit?usp=sharing"",""มุกดาหาร!J165"")"),0)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IFERROR(__xludf.DUMMYFUNCTION("IMPORTRANGE(""https://docs.google.com/spreadsheets/d/1XL5vhW3sbDhbH9Cz0tuDiY8C3ctxq1tqvaCgkFb8cCA/edit?usp=sharing"",""มุกดาหาร!I169"")"),0)</f>
        <v>0</v>
      </c>
      <c r="J249" s="316">
        <f ca="1">IFERROR(__xludf.DUMMYFUNCTION("IMPORTRANGE(""https://docs.google.com/spreadsheets/d/1XL5vhW3sbDhbH9Cz0tuDiY8C3ctxq1tqvaCgkFb8cCA/edit?usp=sharing"",""มุกดาหาร!J169"")"),0)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IFERROR(__xludf.DUMMYFUNCTION("IMPORTRANGE(""https://docs.google.com/spreadsheets/d/1Yj_ptqi66GCucihVvJfMjLAmec39IyEx_6qawtMGysU/edit?usp=sharing"",""สบก!CB46"")"),0)</f>
        <v>0</v>
      </c>
      <c r="N254" s="538">
        <f ca="1">IFERROR(__xludf.DUMMYFUNCTION("IMPORTRANGE(""https://docs.google.com/spreadsheets/d/1Yj_ptqi66GCucihVvJfMjLAmec39IyEx_6qawtMGysU/edit?usp=sharing"",""สบก!CC46"")"),0)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IFERROR(__xludf.DUMMYFUNCTION("IMPORTRANGE(""https://docs.google.com/spreadsheets/d/1Yj_ptqi66GCucihVvJfMjLAmec39IyEx_6qawtMGysU/edit?usp=sharing"",""สบก!BX46"")"),0)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IFERROR(__xludf.DUMMYFUNCTION("IMPORTRANGE(""https://docs.google.com/spreadsheets/d/1Yj_ptqi66GCucihVvJfMjLAmec39IyEx_6qawtMGysU/edit?usp=sharing"",""สบก!BY46"")"),0)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IFERROR(__xludf.DUMMYFUNCTION("IMPORTRANGE(""https://docs.google.com/spreadsheets/d/1Yj_ptqi66GCucihVvJfMjLAmec39IyEx_6qawtMGysU/edit?usp=sharing"",""สบก!BZ46"")"),0)</f>
        <v>0</v>
      </c>
      <c r="M258" s="536"/>
      <c r="N258" s="533">
        <f ca="1">IFERROR(__xludf.DUMMYFUNCTION("IMPORTRANGE(""https://docs.google.com/spreadsheets/d/1Yj_ptqi66GCucihVvJfMjLAmec39IyEx_6qawtMGysU/edit?usp=sharing"",""สบก!CD46"")"),0)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IFERROR(__xludf.DUMMYFUNCTION("IMPORTRANGE(""https://docs.google.com/spreadsheets/d/1XL5vhW3sbDhbH9Cz0tuDiY8C3ctxq1tqvaCgkFb8cCA/edit?usp=sharing"",""มุกดาหาร!J175"")"),0)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IFERROR(__xludf.DUMMYFUNCTION("IMPORTRANGE(""https://docs.google.com/spreadsheets/d/1XL5vhW3sbDhbH9Cz0tuDiY8C3ctxq1tqvaCgkFb8cCA/edit?usp=sharing"",""มุกดาหาร!J176"")"),0)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IFERROR(__xludf.DUMMYFUNCTION("IMPORTRANGE(""https://docs.google.com/spreadsheets/d/1XL5vhW3sbDhbH9Cz0tuDiY8C3ctxq1tqvaCgkFb8cCA/edit?usp=sharing"",""มุกดาหาร!J177"")"),0)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IFERROR(__xludf.DUMMYFUNCTION("IMPORTRANGE(""https://docs.google.com/spreadsheets/d/1XL5vhW3sbDhbH9Cz0tuDiY8C3ctxq1tqvaCgkFb8cCA/edit?usp=sharing"",""มุกดาหาร!J178"")"),0)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IFERROR(__xludf.DUMMYFUNCTION("IMPORTRANGE(""https://docs.google.com/spreadsheets/d/1XL5vhW3sbDhbH9Cz0tuDiY8C3ctxq1tqvaCgkFb8cCA/edit?usp=sharing"",""มุกดาหาร!I179"")"),0)</f>
        <v>0</v>
      </c>
      <c r="J264" s="190">
        <f ca="1">IFERROR(__xludf.DUMMYFUNCTION("IMPORTRANGE(""https://docs.google.com/spreadsheets/d/1XL5vhW3sbDhbH9Cz0tuDiY8C3ctxq1tqvaCgkFb8cCA/edit?usp=sharing"",""มุกดาหาร!J179"")"),0)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IFERROR(__xludf.DUMMYFUNCTION("IMPORTRANGE(""https://docs.google.com/spreadsheets/d/1XL5vhW3sbDhbH9Cz0tuDiY8C3ctxq1tqvaCgkFb8cCA/edit?usp=sharing"",""มุกดาหาร!I180"")"),0)</f>
        <v>0</v>
      </c>
      <c r="J265" s="190">
        <f ca="1">IFERROR(__xludf.DUMMYFUNCTION("IMPORTRANGE(""https://docs.google.com/spreadsheets/d/1XL5vhW3sbDhbH9Cz0tuDiY8C3ctxq1tqvaCgkFb8cCA/edit?usp=sharing"",""มุกดาหาร!J180"")"),0)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IFERROR(__xludf.DUMMYFUNCTION("IMPORTRANGE(""https://docs.google.com/spreadsheets/d/1XL5vhW3sbDhbH9Cz0tuDiY8C3ctxq1tqvaCgkFb8cCA/edit?usp=sharing"",""มุกดาหาร!I181"")"),0)</f>
        <v>0</v>
      </c>
      <c r="J266" s="190">
        <f ca="1">IFERROR(__xludf.DUMMYFUNCTION("IMPORTRANGE(""https://docs.google.com/spreadsheets/d/1XL5vhW3sbDhbH9Cz0tuDiY8C3ctxq1tqvaCgkFb8cCA/edit?usp=sharing"",""มุกดาหาร!J181"")"),0)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IFERROR(__xludf.DUMMYFUNCTION("IMPORTRANGE(""https://docs.google.com/spreadsheets/d/1XL5vhW3sbDhbH9Cz0tuDiY8C3ctxq1tqvaCgkFb8cCA/edit?usp=sharing"",""มุกดาหาร!I182"")"),0)</f>
        <v>0</v>
      </c>
      <c r="J267" s="190">
        <f ca="1">IFERROR(__xludf.DUMMYFUNCTION("IMPORTRANGE(""https://docs.google.com/spreadsheets/d/1XL5vhW3sbDhbH9Cz0tuDiY8C3ctxq1tqvaCgkFb8cCA/edit?usp=sharing"",""มุกดาหาร!J182"")"),0)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IFERROR(__xludf.DUMMYFUNCTION("IMPORTRANGE(""https://docs.google.com/spreadsheets/d/1XL5vhW3sbDhbH9Cz0tuDiY8C3ctxq1tqvaCgkFb8cCA/edit?usp=sharing"",""มุกดาหาร!J183"")"),0)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IFERROR(__xludf.DUMMYFUNCTION("IMPORTRANGE(""https://docs.google.com/spreadsheets/d/1XL5vhW3sbDhbH9Cz0tuDiY8C3ctxq1tqvaCgkFb8cCA/edit?usp=sharing"",""มุกดาหาร!J184"")"),0)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IFERROR(__xludf.DUMMYFUNCTION("IMPORTRANGE(""https://docs.google.com/spreadsheets/d/1XL5vhW3sbDhbH9Cz0tuDiY8C3ctxq1tqvaCgkFb8cCA/edit?usp=sharing"",""มุกดาหาร!I185"")"),15)</f>
        <v>15</v>
      </c>
      <c r="J270" s="316">
        <f ca="1">IFERROR(__xludf.DUMMYFUNCTION("IMPORTRANGE(""https://docs.google.com/spreadsheets/d/1XL5vhW3sbDhbH9Cz0tuDiY8C3ctxq1tqvaCgkFb8cCA/edit?usp=sharing"",""มุกดาหาร!J185"")"),15)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18860</v>
      </c>
      <c r="O271" s="151">
        <f t="shared" ref="O271:O273" ca="1" si="84">IF(L271&gt;0,N271*100/L271,0)</f>
        <v>34.166666666666664</v>
      </c>
      <c r="P271" s="151">
        <f t="shared" ref="P271:P273" ca="1" si="85">IF(M271&gt;0,N271*100/M271,0)</f>
        <v>58.480620155038757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18860</v>
      </c>
      <c r="O273" s="156">
        <f t="shared" ca="1" si="84"/>
        <v>34.166666666666664</v>
      </c>
      <c r="P273" s="156">
        <f t="shared" ca="1" si="85"/>
        <v>58.480620155038757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IFERROR(__xludf.DUMMYFUNCTION("IMPORTRANGE(""https://docs.google.com/spreadsheets/d/1Yj_ptqi66GCucihVvJfMjLAmec39IyEx_6qawtMGysU/edit?usp=sharing"",""สบก!CK46"")"),32250)</f>
        <v>32250</v>
      </c>
      <c r="N275" s="538">
        <f ca="1">IFERROR(__xludf.DUMMYFUNCTION("IMPORTRANGE(""https://docs.google.com/spreadsheets/d/1Yj_ptqi66GCucihVvJfMjLAmec39IyEx_6qawtMGysU/edit?usp=sharing"",""สบก!CL46"")"),18860)</f>
        <v>18860</v>
      </c>
      <c r="O275" s="170">
        <f ca="1">IF(L275&gt;0,N275*100/L275,0)</f>
        <v>34.166666666666664</v>
      </c>
      <c r="P275" s="170">
        <f ca="1">IF(M275&gt;0,N275*100/M275,0)</f>
        <v>58.480620155038757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IFERROR(__xludf.DUMMYFUNCTION("IMPORTRANGE(""https://docs.google.com/spreadsheets/d/1Yj_ptqi66GCucihVvJfMjLAmec39IyEx_6qawtMGysU/edit?usp=sharing"",""สบก!CG46"")"),0)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IFERROR(__xludf.DUMMYFUNCTION("IMPORTRANGE(""https://docs.google.com/spreadsheets/d/1Yj_ptqi66GCucihVvJfMjLAmec39IyEx_6qawtMGysU/edit?usp=sharing"",""สบก!CH46"")"),55200)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IFERROR(__xludf.DUMMYFUNCTION("IMPORTRANGE(""https://docs.google.com/spreadsheets/d/1Yj_ptqi66GCucihVvJfMjLAmec39IyEx_6qawtMGysU/edit?usp=sharing"",""สบก!CI46"")"),0)</f>
        <v>0</v>
      </c>
      <c r="M279" s="536"/>
      <c r="N279" s="533">
        <f ca="1">IFERROR(__xludf.DUMMYFUNCTION("IMPORTRANGE(""https://docs.google.com/spreadsheets/d/1Yj_ptqi66GCucihVvJfMjLAmec39IyEx_6qawtMGysU/edit?usp=sharing"",""สบก!CM46"")"),0)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IFERROR(__xludf.DUMMYFUNCTION("IMPORTRANGE(""https://docs.google.com/spreadsheets/d/1XL5vhW3sbDhbH9Cz0tuDiY8C3ctxq1tqvaCgkFb8cCA/edit?usp=sharing"",""มุกดาหาร!J191"")"),0)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IFERROR(__xludf.DUMMYFUNCTION("IMPORTRANGE(""https://docs.google.com/spreadsheets/d/1XL5vhW3sbDhbH9Cz0tuDiY8C3ctxq1tqvaCgkFb8cCA/edit?usp=sharing"",""มุกดาหาร!J192"")"),1)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IFERROR(__xludf.DUMMYFUNCTION("IMPORTRANGE(""https://docs.google.com/spreadsheets/d/1XL5vhW3sbDhbH9Cz0tuDiY8C3ctxq1tqvaCgkFb8cCA/edit?usp=sharing"",""มุกดาหาร!J193"")"),1)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IFERROR(__xludf.DUMMYFUNCTION("IMPORTRANGE(""https://docs.google.com/spreadsheets/d/1XL5vhW3sbDhbH9Cz0tuDiY8C3ctxq1tqvaCgkFb8cCA/edit?usp=sharing"",""มุกดาหาร!J194"")"),1)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IFERROR(__xludf.DUMMYFUNCTION("IMPORTRANGE(""https://docs.google.com/spreadsheets/d/1XL5vhW3sbDhbH9Cz0tuDiY8C3ctxq1tqvaCgkFb8cCA/edit?usp=sharing"",""มุกดาหาร!I195"")"),15)</f>
        <v>15</v>
      </c>
      <c r="J285" s="190">
        <f ca="1">IFERROR(__xludf.DUMMYFUNCTION("IMPORTRANGE(""https://docs.google.com/spreadsheets/d/1XL5vhW3sbDhbH9Cz0tuDiY8C3ctxq1tqvaCgkFb8cCA/edit?usp=sharing"",""มุกดาหาร!J195"")"),15)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IFERROR(__xludf.DUMMYFUNCTION("IMPORTRANGE(""https://docs.google.com/spreadsheets/d/1XL5vhW3sbDhbH9Cz0tuDiY8C3ctxq1tqvaCgkFb8cCA/edit?usp=sharing"",""มุกดาหาร!J196"")"),0)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IFERROR(__xludf.DUMMYFUNCTION("IMPORTRANGE(""https://docs.google.com/spreadsheets/d/1XL5vhW3sbDhbH9Cz0tuDiY8C3ctxq1tqvaCgkFb8cCA/edit?usp=sharing"",""มุกดาหาร!I199"")"),0)</f>
        <v>0</v>
      </c>
      <c r="J289" s="316">
        <f ca="1">IFERROR(__xludf.DUMMYFUNCTION("IMPORTRANGE(""https://docs.google.com/spreadsheets/d/1XL5vhW3sbDhbH9Cz0tuDiY8C3ctxq1tqvaCgkFb8cCA/edit?usp=sharing"",""มุกดาหาร!J199"")"),0)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IFERROR(__xludf.DUMMYFUNCTION("IMPORTRANGE(""https://docs.google.com/spreadsheets/d/1Yj_ptqi66GCucihVvJfMjLAmec39IyEx_6qawtMGysU/edit?usp=sharing"",""สบก!CT46"")"),0)</f>
        <v>0</v>
      </c>
      <c r="N294" s="538">
        <f ca="1">IFERROR(__xludf.DUMMYFUNCTION("IMPORTRANGE(""https://docs.google.com/spreadsheets/d/1Yj_ptqi66GCucihVvJfMjLAmec39IyEx_6qawtMGysU/edit?usp=sharing"",""สบก!CU46"")"),0)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IFERROR(__xludf.DUMMYFUNCTION("IMPORTRANGE(""https://docs.google.com/spreadsheets/d/1Yj_ptqi66GCucihVvJfMjLAmec39IyEx_6qawtMGysU/edit?usp=sharing"",""สบก!CP46"")"),0)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IFERROR(__xludf.DUMMYFUNCTION("IMPORTRANGE(""https://docs.google.com/spreadsheets/d/1Yj_ptqi66GCucihVvJfMjLAmec39IyEx_6qawtMGysU/edit?usp=sharing"",""สบก!CQ46"")"),0)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IFERROR(__xludf.DUMMYFUNCTION("IMPORTRANGE(""https://docs.google.com/spreadsheets/d/1Yj_ptqi66GCucihVvJfMjLAmec39IyEx_6qawtMGysU/edit?usp=sharing"",""สบก!CR46"")"),0)</f>
        <v>0</v>
      </c>
      <c r="M298" s="536"/>
      <c r="N298" s="533">
        <f ca="1">IFERROR(__xludf.DUMMYFUNCTION("IMPORTRANGE(""https://docs.google.com/spreadsheets/d/1Yj_ptqi66GCucihVvJfMjLAmec39IyEx_6qawtMGysU/edit?usp=sharing"",""สบก!CV46"")"),0)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IFERROR(__xludf.DUMMYFUNCTION("IMPORTRANGE(""https://docs.google.com/spreadsheets/d/1XL5vhW3sbDhbH9Cz0tuDiY8C3ctxq1tqvaCgkFb8cCA/edit?usp=sharing"",""มุกดาหาร!I209"")"),0)</f>
        <v>0</v>
      </c>
      <c r="J304" s="205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IFERROR(__xludf.DUMMYFUNCTION("IMPORTRANGE(""https://docs.google.com/spreadsheets/d/1XL5vhW3sbDhbH9Cz0tuDiY8C3ctxq1tqvaCgkFb8cCA/edit?usp=sharing"",""มุกดาหาร!I211"")"),0)</f>
        <v>0</v>
      </c>
      <c r="J306" s="205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IFERROR(__xludf.DUMMYFUNCTION("IMPORTRANGE(""https://docs.google.com/spreadsheets/d/1XL5vhW3sbDhbH9Cz0tuDiY8C3ctxq1tqvaCgkFb8cCA/edit?usp=sharing"",""มุกดาหาร!I214"")"),0)</f>
        <v>0</v>
      </c>
      <c r="J309" s="333">
        <f ca="1">IFERROR(__xludf.DUMMYFUNCTION("IMPORTRANGE(""https://docs.google.com/spreadsheets/d/1XL5vhW3sbDhbH9Cz0tuDiY8C3ctxq1tqvaCgkFb8cCA/edit?usp=sharing"",""มุกดาหาร!J214"")"),0)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IFERROR(__xludf.DUMMYFUNCTION("IMPORTRANGE(""https://docs.google.com/spreadsheets/d/1Yj_ptqi66GCucihVvJfMjLAmec39IyEx_6qawtMGysU/edit?usp=sharing"",""สบก!DC46"")"),0)</f>
        <v>0</v>
      </c>
      <c r="N314" s="538">
        <f ca="1">IFERROR(__xludf.DUMMYFUNCTION("IMPORTRANGE(""https://docs.google.com/spreadsheets/d/1Yj_ptqi66GCucihVvJfMjLAmec39IyEx_6qawtMGysU/edit?usp=sharing"",""สบก!DD46"")"),0)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IFERROR(__xludf.DUMMYFUNCTION("IMPORTRANGE(""https://docs.google.com/spreadsheets/d/1Yj_ptqi66GCucihVvJfMjLAmec39IyEx_6qawtMGysU/edit?usp=sharing"",""สบก!CY46"")"),0)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IFERROR(__xludf.DUMMYFUNCTION("IMPORTRANGE(""https://docs.google.com/spreadsheets/d/1Yj_ptqi66GCucihVvJfMjLAmec39IyEx_6qawtMGysU/edit?usp=sharing"",""สบก!CZ46"")"),0)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IFERROR(__xludf.DUMMYFUNCTION("IMPORTRANGE(""https://docs.google.com/spreadsheets/d/1Yj_ptqi66GCucihVvJfMjLAmec39IyEx_6qawtMGysU/edit?usp=sharing"",""สบก!DA46"")"),0)</f>
        <v>0</v>
      </c>
      <c r="M318" s="536"/>
      <c r="N318" s="533">
        <f ca="1">IFERROR(__xludf.DUMMYFUNCTION("IMPORTRANGE(""https://docs.google.com/spreadsheets/d/1Yj_ptqi66GCucihVvJfMjLAmec39IyEx_6qawtMGysU/edit?usp=sharing"",""สบก!DE46"")"),0)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IFERROR(__xludf.DUMMYFUNCTION("IMPORTRANGE(""https://docs.google.com/spreadsheets/d/1XL5vhW3sbDhbH9Cz0tuDiY8C3ctxq1tqvaCgkFb8cCA/edit?usp=sharing"",""มุกดาหาร!I224"")"),0)</f>
        <v>0</v>
      </c>
      <c r="J324" s="205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IFERROR(__xludf.DUMMYFUNCTION("IMPORTRANGE(""https://docs.google.com/spreadsheets/d/1XL5vhW3sbDhbH9Cz0tuDiY8C3ctxq1tqvaCgkFb8cCA/edit?usp=sharing"",""มุกดาหาร!I228"")"),225)</f>
        <v>225</v>
      </c>
      <c r="J328" s="339">
        <f ca="1">IFERROR(__xludf.DUMMYFUNCTION("IMPORTRANGE(""https://docs.google.com/spreadsheets/d/1XL5vhW3sbDhbH9Cz0tuDiY8C3ctxq1tqvaCgkFb8cCA/edit?usp=sharing"",""มุกดาหาร!J228"")"),89)</f>
        <v>89</v>
      </c>
      <c r="K328" s="317">
        <f ca="1">IF(I328&gt;0,J328*100/I328,0)</f>
        <v>39.555555555555557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835710</v>
      </c>
      <c r="M329" s="152">
        <f t="shared" ca="1" si="98"/>
        <v>517060</v>
      </c>
      <c r="N329" s="152">
        <f t="shared" ca="1" si="98"/>
        <v>436610</v>
      </c>
      <c r="O329" s="151">
        <f t="shared" ref="O329:O331" ca="1" si="99">IF(L329&gt;0,N329*100/L329,0)</f>
        <v>52.244199542903637</v>
      </c>
      <c r="P329" s="151">
        <f t="shared" ref="P329:P331" ca="1" si="100">IF(M329&gt;0,N329*100/M329,0)</f>
        <v>84.440877267628508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835710</v>
      </c>
      <c r="M331" s="157">
        <f t="shared" ca="1" si="102"/>
        <v>517060</v>
      </c>
      <c r="N331" s="157">
        <f t="shared" ca="1" si="102"/>
        <v>436610</v>
      </c>
      <c r="O331" s="156">
        <f t="shared" ca="1" si="99"/>
        <v>52.244199542903637</v>
      </c>
      <c r="P331" s="156">
        <f t="shared" ca="1" si="100"/>
        <v>84.440877267628508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696710</v>
      </c>
      <c r="M333" s="537">
        <f ca="1">IFERROR(__xludf.DUMMYFUNCTION("IMPORTRANGE(""https://docs.google.com/spreadsheets/d/1Yj_ptqi66GCucihVvJfMjLAmec39IyEx_6qawtMGysU/edit?usp=sharing"",""สบก!DL46"")"),378060)</f>
        <v>378060</v>
      </c>
      <c r="N333" s="538">
        <f ca="1">IFERROR(__xludf.DUMMYFUNCTION("IMPORTRANGE(""https://docs.google.com/spreadsheets/d/1Yj_ptqi66GCucihVvJfMjLAmec39IyEx_6qawtMGysU/edit?usp=sharing"",""สบก!DM46"")"),297610)</f>
        <v>297610</v>
      </c>
      <c r="O333" s="170">
        <f ca="1">IF(L333&gt;0,N333*100/L333,0)</f>
        <v>42.716481749939</v>
      </c>
      <c r="P333" s="170">
        <f ca="1">IF(M333&gt;0,N333*100/M333,0)</f>
        <v>78.720308945669998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IFERROR(__xludf.DUMMYFUNCTION("IMPORTRANGE(""https://docs.google.com/spreadsheets/d/1Yj_ptqi66GCucihVvJfMjLAmec39IyEx_6qawtMGysU/edit?usp=sharing"",""สบก!DH46"")"),306000)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IFERROR(__xludf.DUMMYFUNCTION("IMPORTRANGE(""https://docs.google.com/spreadsheets/d/1Yj_ptqi66GCucihVvJfMjLAmec39IyEx_6qawtMGysU/edit?usp=sharing"",""สบก!DI46"")"),390710)</f>
        <v>390710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IFERROR(__xludf.DUMMYFUNCTION("IMPORTRANGE(""https://docs.google.com/spreadsheets/d/1Yj_ptqi66GCucihVvJfMjLAmec39IyEx_6qawtMGysU/edit?usp=sharing"",""สบก!DJ46"")"),139000)</f>
        <v>139000</v>
      </c>
      <c r="M337" s="536">
        <f ca="1">L337</f>
        <v>139000</v>
      </c>
      <c r="N337" s="533">
        <f ca="1">IFERROR(__xludf.DUMMYFUNCTION("IMPORTRANGE(""https://docs.google.com/spreadsheets/d/1Yj_ptqi66GCucihVvJfMjLAmec39IyEx_6qawtMGysU/edit?usp=sharing"",""สบก!DN46"")"),139000)</f>
        <v>139000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IFERROR(__xludf.DUMMYFUNCTION("IMPORTRANGE(""https://docs.google.com/spreadsheets/d/1XL5vhW3sbDhbH9Cz0tuDiY8C3ctxq1tqvaCgkFb8cCA/edit?usp=sharing"",""มุกดาหาร!I234"")"),0)</f>
        <v>0</v>
      </c>
      <c r="J339" s="189">
        <f ca="1">IFERROR(__xludf.DUMMYFUNCTION("IMPORTRANGE(""https://docs.google.com/spreadsheets/d/1XL5vhW3sbDhbH9Cz0tuDiY8C3ctxq1tqvaCgkFb8cCA/edit?usp=sharing"",""มุกดาหาร!J234"")"),113)</f>
        <v>113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IFERROR(__xludf.DUMMYFUNCTION("IMPORTRANGE(""https://docs.google.com/spreadsheets/d/1XL5vhW3sbDhbH9Cz0tuDiY8C3ctxq1tqvaCgkFb8cCA/edit?usp=sharing"",""มุกดาหาร!I235"")"),1800)</f>
        <v>1800</v>
      </c>
      <c r="J340" s="189">
        <f ca="1">IFERROR(__xludf.DUMMYFUNCTION("IMPORTRANGE(""https://docs.google.com/spreadsheets/d/1XL5vhW3sbDhbH9Cz0tuDiY8C3ctxq1tqvaCgkFb8cCA/edit?usp=sharing"",""มุกดาหาร!J235"")"),874.91)</f>
        <v>874.91</v>
      </c>
      <c r="K340" s="342">
        <f t="shared" ca="1" si="103"/>
        <v>48.606111111111112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IFERROR(__xludf.DUMMYFUNCTION("IMPORTRANGE(""https://docs.google.com/spreadsheets/d/1XL5vhW3sbDhbH9Cz0tuDiY8C3ctxq1tqvaCgkFb8cCA/edit?usp=sharing"",""มุกดาหาร!I236"")"),225)</f>
        <v>225</v>
      </c>
      <c r="J341" s="189">
        <f ca="1">IFERROR(__xludf.DUMMYFUNCTION("IMPORTRANGE(""https://docs.google.com/spreadsheets/d/1XL5vhW3sbDhbH9Cz0tuDiY8C3ctxq1tqvaCgkFb8cCA/edit?usp=sharing"",""มุกดาหาร!J236"")"),142)</f>
        <v>142</v>
      </c>
      <c r="K341" s="342">
        <f t="shared" ca="1" si="103"/>
        <v>63.111111111111114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9">
        <f ca="1">IFERROR(__xludf.DUMMYFUNCTION("IMPORTRANGE(""https://docs.google.com/spreadsheets/d/1XL5vhW3sbDhbH9Cz0tuDiY8C3ctxq1tqvaCgkFb8cCA/edit?usp=sharing"",""มุกดาหาร!J237"")"),1274.58)</f>
        <v>1274.58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IFERROR(__xludf.DUMMYFUNCTION("IMPORTRANGE(""https://docs.google.com/spreadsheets/d/1XL5vhW3sbDhbH9Cz0tuDiY8C3ctxq1tqvaCgkFb8cCA/edit?usp=sharing"",""มุกดาหาร!I238"")"),225)</f>
        <v>225</v>
      </c>
      <c r="J343" s="189">
        <f ca="1">IFERROR(__xludf.DUMMYFUNCTION("IMPORTRANGE(""https://docs.google.com/spreadsheets/d/1XL5vhW3sbDhbH9Cz0tuDiY8C3ctxq1tqvaCgkFb8cCA/edit?usp=sharing"",""มุกดาหาร!J238"")"),0)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9">
        <f ca="1">IFERROR(__xludf.DUMMYFUNCTION("IMPORTRANGE(""https://docs.google.com/spreadsheets/d/1XL5vhW3sbDhbH9Cz0tuDiY8C3ctxq1tqvaCgkFb8cCA/edit?usp=sharing"",""มุกดาหาร!J239"")"),0)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IFERROR(__xludf.DUMMYFUNCTION("IMPORTRANGE(""https://docs.google.com/spreadsheets/d/1XL5vhW3sbDhbH9Cz0tuDiY8C3ctxq1tqvaCgkFb8cCA/edit?usp=sharing"",""มุกดาหาร!I240"")"),225)</f>
        <v>225</v>
      </c>
      <c r="J345" s="189">
        <f ca="1">IFERROR(__xludf.DUMMYFUNCTION("IMPORTRANGE(""https://docs.google.com/spreadsheets/d/1XL5vhW3sbDhbH9Cz0tuDiY8C3ctxq1tqvaCgkFb8cCA/edit?usp=sharing"",""มุกดาหาร!J240"")"),89)</f>
        <v>89</v>
      </c>
      <c r="K345" s="342">
        <f t="shared" ca="1" si="103"/>
        <v>39.555555555555557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9">
        <f ca="1">IFERROR(__xludf.DUMMYFUNCTION("IMPORTRANGE(""https://docs.google.com/spreadsheets/d/1XL5vhW3sbDhbH9Cz0tuDiY8C3ctxq1tqvaCgkFb8cCA/edit?usp=sharing"",""มุกดาหาร!J241"")"),889.14)</f>
        <v>889.14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IFERROR(__xludf.DUMMYFUNCTION("IMPORTRANGE(""https://docs.google.com/spreadsheets/d/1XL5vhW3sbDhbH9Cz0tuDiY8C3ctxq1tqvaCgkFb8cCA/edit?usp=sharing"",""มุกดาหาร!L242"")"),2534478)</f>
        <v>2534478</v>
      </c>
      <c r="M347" s="358"/>
      <c r="N347" s="358">
        <f ca="1">IFERROR(__xludf.DUMMYFUNCTION("IMPORTRANGE(""https://docs.google.com/spreadsheets/d/1XL5vhW3sbDhbH9Cz0tuDiY8C3ctxq1tqvaCgkFb8cCA/edit?usp=sharing"",""มุกดาหาร!M242"")"),640954)</f>
        <v>640954</v>
      </c>
      <c r="O347" s="358">
        <f ca="1">+IF(L347&gt;0,N347*100/L347,0)</f>
        <v>25.289388978716723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IFERROR(__xludf.DUMMYFUNCTION("IMPORTRANGE(""https://docs.google.com/spreadsheets/d/1XL5vhW3sbDhbH9Cz0tuDiY8C3ctxq1tqvaCgkFb8cCA/edit?usp=sharing"",""มุกดาหาร!M244"")"),142203)</f>
        <v>142203</v>
      </c>
      <c r="O349" s="373">
        <f ca="1">+IF(L349&gt;0,N349*100/L349,0)</f>
        <v>31.88908573094432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IFERROR(__xludf.DUMMYFUNCTION("IMPORTRANGE(""https://docs.google.com/spreadsheets/d/1XL5vhW3sbDhbH9Cz0tuDiY8C3ctxq1tqvaCgkFb8cCA/edit?usp=sharing"",""มุกดาหาร!L246"")"),0)</f>
        <v>0</v>
      </c>
      <c r="M351" s="166"/>
      <c r="N351" s="166">
        <f ca="1">IFERROR(__xludf.DUMMYFUNCTION("IMPORTRANGE(""https://docs.google.com/spreadsheets/d/1XL5vhW3sbDhbH9Cz0tuDiY8C3ctxq1tqvaCgkFb8cCA/edit?usp=sharing"",""มุกดาหาร!M246"")"),0)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IFERROR(__xludf.DUMMYFUNCTION("IMPORTRANGE(""https://docs.google.com/spreadsheets/d/1XL5vhW3sbDhbH9Cz0tuDiY8C3ctxq1tqvaCgkFb8cCA/edit?usp=sharing"",""มุกดาหาร!L247"")"),445930)</f>
        <v>445930</v>
      </c>
      <c r="M352" s="167"/>
      <c r="N352" s="166">
        <f ca="1">IFERROR(__xludf.DUMMYFUNCTION("IMPORTRANGE(""https://docs.google.com/spreadsheets/d/1XL5vhW3sbDhbH9Cz0tuDiY8C3ctxq1tqvaCgkFb8cCA/edit?usp=sharing"",""มุกดาหาร!M247"")"),142203)</f>
        <v>142203</v>
      </c>
      <c r="O352" s="167">
        <f t="shared" ca="1" si="105"/>
        <v>31.88908573094432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IFERROR(__xludf.DUMMYFUNCTION("IMPORTRANGE(""https://docs.google.com/spreadsheets/d/1XL5vhW3sbDhbH9Cz0tuDiY8C3ctxq1tqvaCgkFb8cCA/edit?usp=sharing"",""มุกดาหาร!L248"")"),0)</f>
        <v>0</v>
      </c>
      <c r="M353" s="170"/>
      <c r="N353" s="170">
        <f ca="1">IFERROR(__xludf.DUMMYFUNCTION("IMPORTRANGE(""https://docs.google.com/spreadsheets/d/1XL5vhW3sbDhbH9Cz0tuDiY8C3ctxq1tqvaCgkFb8cCA/edit?usp=sharing"",""มุกดาหาร!M248"")"),0)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IFERROR(__xludf.DUMMYFUNCTION("IMPORTRANGE(""https://docs.google.com/spreadsheets/d/1XL5vhW3sbDhbH9Cz0tuDiY8C3ctxq1tqvaCgkFb8cCA/edit?usp=sharing"",""มุกดาหาร!L249"")"),445930)</f>
        <v>445930</v>
      </c>
      <c r="M354" s="170"/>
      <c r="N354" s="169">
        <f ca="1">IFERROR(__xludf.DUMMYFUNCTION("IMPORTRANGE(""https://docs.google.com/spreadsheets/d/1XL5vhW3sbDhbH9Cz0tuDiY8C3ctxq1tqvaCgkFb8cCA/edit?usp=sharing"",""มุกดาหาร!M249"")"),142203)</f>
        <v>142203</v>
      </c>
      <c r="O354" s="170">
        <f t="shared" ca="1" si="105"/>
        <v>31.88908573094432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IFERROR(__xludf.DUMMYFUNCTION("IMPORTRANGE(""https://docs.google.com/spreadsheets/d/1XL5vhW3sbDhbH9Cz0tuDiY8C3ctxq1tqvaCgkFb8cCA/edit?usp=sharing"",""มุกดาหาร!M250"")"),74730)</f>
        <v>74730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IFERROR(__xludf.DUMMYFUNCTION("IMPORTRANGE(""https://docs.google.com/spreadsheets/d/1XL5vhW3sbDhbH9Cz0tuDiY8C3ctxq1tqvaCgkFb8cCA/edit?usp=sharing"",""มุกดาหาร!M251"")"),0)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IFERROR(__xludf.DUMMYFUNCTION("IMPORTRANGE(""https://docs.google.com/spreadsheets/d/1XL5vhW3sbDhbH9Cz0tuDiY8C3ctxq1tqvaCgkFb8cCA/edit?usp=sharing"",""มุกดาหาร!M252"")"),53533)</f>
        <v>53533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IFERROR(__xludf.DUMMYFUNCTION("IMPORTRANGE(""https://docs.google.com/spreadsheets/d/1XL5vhW3sbDhbH9Cz0tuDiY8C3ctxq1tqvaCgkFb8cCA/edit?usp=sharing"",""มุกดาหาร!M253"")"),13940)</f>
        <v>13940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IFERROR(__xludf.DUMMYFUNCTION("IMPORTRANGE(""https://docs.google.com/spreadsheets/d/1XL5vhW3sbDhbH9Cz0tuDiY8C3ctxq1tqvaCgkFb8cCA/edit?usp=sharing"",""มุกดาหาร!J255"")"),0)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IFERROR(__xludf.DUMMYFUNCTION("IMPORTRANGE(""https://docs.google.com/spreadsheets/d/1XL5vhW3sbDhbH9Cz0tuDiY8C3ctxq1tqvaCgkFb8cCA/edit?usp=sharing"",""มุกดาหาร!J256"")"),1)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IFERROR(__xludf.DUMMYFUNCTION("IMPORTRANGE(""https://docs.google.com/spreadsheets/d/1XL5vhW3sbDhbH9Cz0tuDiY8C3ctxq1tqvaCgkFb8cCA/edit?usp=sharing"",""มุกดาหาร!J257"")"),1)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IFERROR(__xludf.DUMMYFUNCTION("IMPORTRANGE(""https://docs.google.com/spreadsheets/d/1XL5vhW3sbDhbH9Cz0tuDiY8C3ctxq1tqvaCgkFb8cCA/edit?usp=sharing"",""มุกดาหาร!J258"")"),1)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IFERROR(__xludf.DUMMYFUNCTION("IMPORTRANGE(""https://docs.google.com/spreadsheets/d/1XL5vhW3sbDhbH9Cz0tuDiY8C3ctxq1tqvaCgkFb8cCA/edit?usp=sharing"",""มุกดาหาร!J166"")"),0)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IFERROR(__xludf.DUMMYFUNCTION("IMPORTRANGE(""https://docs.google.com/spreadsheets/d/1XL5vhW3sbDhbH9Cz0tuDiY8C3ctxq1tqvaCgkFb8cCA/edit?usp=sharing"",""มุกดาหาร!J166"")"),0)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IFERROR(__xludf.DUMMYFUNCTION("IMPORTRANGE(""https://docs.google.com/spreadsheets/d/1XL5vhW3sbDhbH9Cz0tuDiY8C3ctxq1tqvaCgkFb8cCA/edit?usp=sharing"",""มุกดาหาร!J166"")"),0)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IFERROR(__xludf.DUMMYFUNCTION("IMPORTRANGE(""https://docs.google.com/spreadsheets/d/1XL5vhW3sbDhbH9Cz0tuDiY8C3ctxq1tqvaCgkFb8cCA/edit?usp=sharing"",""มุกดาหาร!J166"")"),0)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IFERROR(__xludf.DUMMYFUNCTION("IMPORTRANGE(""https://docs.google.com/spreadsheets/d/1XL5vhW3sbDhbH9Cz0tuDiY8C3ctxq1tqvaCgkFb8cCA/edit?usp=sharing"",""มุกดาหาร!I263"")"),65)</f>
        <v>65</v>
      </c>
      <c r="J368" s="189">
        <f ca="1">IFERROR(__xludf.DUMMYFUNCTION("IMPORTRANGE(""https://docs.google.com/spreadsheets/d/1XL5vhW3sbDhbH9Cz0tuDiY8C3ctxq1tqvaCgkFb8cCA/edit?usp=sharing"",""มุกดาหาร!J263"")"),65)</f>
        <v>65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IFERROR(__xludf.DUMMYFUNCTION("IMPORTRANGE(""https://docs.google.com/spreadsheets/d/1XL5vhW3sbDhbH9Cz0tuDiY8C3ctxq1tqvaCgkFb8cCA/edit?usp=sharing"",""มุกดาหาร!I164"")"),0)</f>
        <v>0</v>
      </c>
      <c r="J369" s="205">
        <f ca="1">IFERROR(__xludf.DUMMYFUNCTION("IMPORTRANGE(""https://docs.google.com/spreadsheets/d/1XL5vhW3sbDhbH9Cz0tuDiY8C3ctxq1tqvaCgkFb8cCA/edit?usp=sharing"",""มุกดาหาร!J164"")"),0)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IFERROR(__xludf.DUMMYFUNCTION("IMPORTRANGE(""https://docs.google.com/spreadsheets/d/1XL5vhW3sbDhbH9Cz0tuDiY8C3ctxq1tqvaCgkFb8cCA/edit?usp=sharing"",""มุกดาหาร!I265"")"),65)</f>
        <v>65</v>
      </c>
      <c r="J370" s="205">
        <f ca="1">IFERROR(__xludf.DUMMYFUNCTION("IMPORTRANGE(""https://docs.google.com/spreadsheets/d/1XL5vhW3sbDhbH9Cz0tuDiY8C3ctxq1tqvaCgkFb8cCA/edit?usp=sharing"",""มุกดาหาร!J265"")"),65)</f>
        <v>65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IFERROR(__xludf.DUMMYFUNCTION("IMPORTRANGE(""https://docs.google.com/spreadsheets/d/1XL5vhW3sbDhbH9Cz0tuDiY8C3ctxq1tqvaCgkFb8cCA/edit?usp=sharing"",""มุกดาหาร!I164"")"),0)</f>
        <v>0</v>
      </c>
      <c r="J371" s="190">
        <f ca="1">IFERROR(__xludf.DUMMYFUNCTION("IMPORTRANGE(""https://docs.google.com/spreadsheets/d/1XL5vhW3sbDhbH9Cz0tuDiY8C3ctxq1tqvaCgkFb8cCA/edit?usp=sharing"",""มุกดาหาร!J164"")"),0)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IFERROR(__xludf.DUMMYFUNCTION("IMPORTRANGE(""https://docs.google.com/spreadsheets/d/1XL5vhW3sbDhbH9Cz0tuDiY8C3ctxq1tqvaCgkFb8cCA/edit?usp=sharing"",""มุกดาหาร!I267"")"),65)</f>
        <v>65</v>
      </c>
      <c r="J372" s="190">
        <f ca="1">IFERROR(__xludf.DUMMYFUNCTION("IMPORTRANGE(""https://docs.google.com/spreadsheets/d/1XL5vhW3sbDhbH9Cz0tuDiY8C3ctxq1tqvaCgkFb8cCA/edit?usp=sharing"",""มุกดาหาร!J267"")"),65)</f>
        <v>65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IFERROR(__xludf.DUMMYFUNCTION("IMPORTRANGE(""https://docs.google.com/spreadsheets/d/1XL5vhW3sbDhbH9Cz0tuDiY8C3ctxq1tqvaCgkFb8cCA/edit?usp=sharing"",""มุกดาหาร!I164"")"),0)</f>
        <v>0</v>
      </c>
      <c r="J373" s="205">
        <f ca="1">IFERROR(__xludf.DUMMYFUNCTION("IMPORTRANGE(""https://docs.google.com/spreadsheets/d/1XL5vhW3sbDhbH9Cz0tuDiY8C3ctxq1tqvaCgkFb8cCA/edit?usp=sharing"",""มุกดาหาร!J164"")"),0)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IFERROR(__xludf.DUMMYFUNCTION("IMPORTRANGE(""https://docs.google.com/spreadsheets/d/1XL5vhW3sbDhbH9Cz0tuDiY8C3ctxq1tqvaCgkFb8cCA/edit?usp=sharing"",""มุกดาหาร!I164"")"),0)</f>
        <v>0</v>
      </c>
      <c r="J374" s="189">
        <f ca="1">IFERROR(__xludf.DUMMYFUNCTION("IMPORTRANGE(""https://docs.google.com/spreadsheets/d/1XL5vhW3sbDhbH9Cz0tuDiY8C3ctxq1tqvaCgkFb8cCA/edit?usp=sharing"",""มุกดาหาร!J164"")"),0)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IFERROR(__xludf.DUMMYFUNCTION("IMPORTRANGE(""https://docs.google.com/spreadsheets/d/1XL5vhW3sbDhbH9Cz0tuDiY8C3ctxq1tqvaCgkFb8cCA/edit?usp=sharing"",""มุกดาหาร!I270"")"),190)</f>
        <v>190</v>
      </c>
      <c r="J375" s="189">
        <f ca="1">IFERROR(__xludf.DUMMYFUNCTION("IMPORTRANGE(""https://docs.google.com/spreadsheets/d/1XL5vhW3sbDhbH9Cz0tuDiY8C3ctxq1tqvaCgkFb8cCA/edit?usp=sharing"",""มุกดาหาร!J270"")"),0)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IFERROR(__xludf.DUMMYFUNCTION("IMPORTRANGE(""https://docs.google.com/spreadsheets/d/1XL5vhW3sbDhbH9Cz0tuDiY8C3ctxq1tqvaCgkFb8cCA/edit?usp=sharing"",""มุกดาหาร!I271"")"),100)</f>
        <v>100</v>
      </c>
      <c r="J376" s="190">
        <f ca="1">IFERROR(__xludf.DUMMYFUNCTION("IMPORTRANGE(""https://docs.google.com/spreadsheets/d/1XL5vhW3sbDhbH9Cz0tuDiY8C3ctxq1tqvaCgkFb8cCA/edit?usp=sharing"",""มุกดาหาร!J271"")"),0)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IFERROR(__xludf.DUMMYFUNCTION("IMPORTRANGE(""https://docs.google.com/spreadsheets/d/1XL5vhW3sbDhbH9Cz0tuDiY8C3ctxq1tqvaCgkFb8cCA/edit?usp=sharing"",""มุกดาหาร!I272"")"),90)</f>
        <v>90</v>
      </c>
      <c r="J377" s="205">
        <f ca="1">IFERROR(__xludf.DUMMYFUNCTION("IMPORTRANGE(""https://docs.google.com/spreadsheets/d/1XL5vhW3sbDhbH9Cz0tuDiY8C3ctxq1tqvaCgkFb8cCA/edit?usp=sharing"",""มุกดาหาร!J272"")"),0)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IFERROR(__xludf.DUMMYFUNCTION("IMPORTRANGE(""https://docs.google.com/spreadsheets/d/1XL5vhW3sbDhbH9Cz0tuDiY8C3ctxq1tqvaCgkFb8cCA/edit?usp=sharing"",""มุกดาหาร!J273"")"),0)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IFERROR(__xludf.DUMMYFUNCTION("IMPORTRANGE(""https://docs.google.com/spreadsheets/d/1XL5vhW3sbDhbH9Cz0tuDiY8C3ctxq1tqvaCgkFb8cCA/edit?usp=sharing"",""มุกดาหาร!M275"")"),177713)</f>
        <v>177713</v>
      </c>
      <c r="O380" s="373">
        <f ca="1">+IF(L380&gt;0,N380*100/L380,0)</f>
        <v>17.278516703612958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IFERROR(__xludf.DUMMYFUNCTION("IMPORTRANGE(""https://docs.google.com/spreadsheets/d/1XL5vhW3sbDhbH9Cz0tuDiY8C3ctxq1tqvaCgkFb8cCA/edit?usp=sharing"",""มุกดาหาร!L277"")"),0)</f>
        <v>0</v>
      </c>
      <c r="M382" s="166"/>
      <c r="N382" s="166">
        <f ca="1">IFERROR(__xludf.DUMMYFUNCTION("IMPORTRANGE(""https://docs.google.com/spreadsheets/d/1XL5vhW3sbDhbH9Cz0tuDiY8C3ctxq1tqvaCgkFb8cCA/edit?usp=sharing"",""มุกดาหาร!M277"")"),0)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IFERROR(__xludf.DUMMYFUNCTION("IMPORTRANGE(""https://docs.google.com/spreadsheets/d/1XL5vhW3sbDhbH9Cz0tuDiY8C3ctxq1tqvaCgkFb8cCA/edit?usp=sharing"",""มุกดาหาร!L278"")"),1028520)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IFERROR(__xludf.DUMMYFUNCTION("IMPORTRANGE(""https://docs.google.com/spreadsheets/d/1XL5vhW3sbDhbH9Cz0tuDiY8C3ctxq1tqvaCgkFb8cCA/edit?usp=sharing"",""มุกดาหาร!M278"")"),177713)</f>
        <v>177713</v>
      </c>
      <c r="O383" s="167">
        <f t="shared" ca="1" si="109"/>
        <v>17.278516703612958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IFERROR(__xludf.DUMMYFUNCTION("IMPORTRANGE(""https://docs.google.com/spreadsheets/d/1XL5vhW3sbDhbH9Cz0tuDiY8C3ctxq1tqvaCgkFb8cCA/edit?usp=sharing"",""มุกดาหาร!L279"")"),0)</f>
        <v>0</v>
      </c>
      <c r="M384" s="170"/>
      <c r="N384" s="170">
        <f ca="1">IFERROR(__xludf.DUMMYFUNCTION("IMPORTRANGE(""https://docs.google.com/spreadsheets/d/1XL5vhW3sbDhbH9Cz0tuDiY8C3ctxq1tqvaCgkFb8cCA/edit?usp=sharing"",""มุกดาหาร!M279"")"),0)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IFERROR(__xludf.DUMMYFUNCTION("IMPORTRANGE(""https://docs.google.com/spreadsheets/d/1XL5vhW3sbDhbH9Cz0tuDiY8C3ctxq1tqvaCgkFb8cCA/edit?usp=sharing"",""มุกดาหาร!L280"")"),1028520)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IFERROR(__xludf.DUMMYFUNCTION("IMPORTRANGE(""https://docs.google.com/spreadsheets/d/1XL5vhW3sbDhbH9Cz0tuDiY8C3ctxq1tqvaCgkFb8cCA/edit?usp=sharing"",""มุกดาหาร!M280"")"),177713)</f>
        <v>177713</v>
      </c>
      <c r="O385" s="170">
        <f t="shared" ca="1" si="109"/>
        <v>17.278516703612958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IFERROR(__xludf.DUMMYFUNCTION("IMPORTRANGE(""https://docs.google.com/spreadsheets/d/1XL5vhW3sbDhbH9Cz0tuDiY8C3ctxq1tqvaCgkFb8cCA/edit?usp=sharing"",""มุกดาหาร!M281"")"),106160)</f>
        <v>106160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IFERROR(__xludf.DUMMYFUNCTION("IMPORTRANGE(""https://docs.google.com/spreadsheets/d/1XL5vhW3sbDhbH9Cz0tuDiY8C3ctxq1tqvaCgkFb8cCA/edit?usp=sharing"",""มุกดาหาร!M283"")"),53533)</f>
        <v>53533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IFERROR(__xludf.DUMMYFUNCTION("IMPORTRANGE(""https://docs.google.com/spreadsheets/d/1XL5vhW3sbDhbH9Cz0tuDiY8C3ctxq1tqvaCgkFb8cCA/edit?usp=sharing"",""มุกดาหาร!M284"")"),18020)</f>
        <v>18020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IFERROR(__xludf.DUMMYFUNCTION("IMPORTRANGE(""https://docs.google.com/spreadsheets/d/1XL5vhW3sbDhbH9Cz0tuDiY8C3ctxq1tqvaCgkFb8cCA/edit?usp=sharing"",""มุกดาหาร!J286"")"),0)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IFERROR(__xludf.DUMMYFUNCTION("IMPORTRANGE(""https://docs.google.com/spreadsheets/d/1XL5vhW3sbDhbH9Cz0tuDiY8C3ctxq1tqvaCgkFb8cCA/edit?usp=sharing"",""มุกดาหาร!J287"")"),1)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IFERROR(__xludf.DUMMYFUNCTION("IMPORTRANGE(""https://docs.google.com/spreadsheets/d/1XL5vhW3sbDhbH9Cz0tuDiY8C3ctxq1tqvaCgkFb8cCA/edit?usp=sharing"",""มุกดาหาร!J288"")"),1)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IFERROR(__xludf.DUMMYFUNCTION("IMPORTRANGE(""https://docs.google.com/spreadsheets/d/1XL5vhW3sbDhbH9Cz0tuDiY8C3ctxq1tqvaCgkFb8cCA/edit?usp=sharing"",""มุกดาหาร!J289"")"),1)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IFERROR(__xludf.DUMMYFUNCTION("IMPORTRANGE(""https://docs.google.com/spreadsheets/d/1XL5vhW3sbDhbH9Cz0tuDiY8C3ctxq1tqvaCgkFb8cCA/edit?usp=sharing"",""มุกดาหาร!I291"")"),100)</f>
        <v>100</v>
      </c>
      <c r="J396" s="199">
        <f ca="1">IFERROR(__xludf.DUMMYFUNCTION("IMPORTRANGE(""https://docs.google.com/spreadsheets/d/1XL5vhW3sbDhbH9Cz0tuDiY8C3ctxq1tqvaCgkFb8cCA/edit?usp=sharing"",""มุกดาหาร!J291"")"),100)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IFERROR(__xludf.DUMMYFUNCTION("IMPORTRANGE(""https://docs.google.com/spreadsheets/d/1XL5vhW3sbDhbH9Cz0tuDiY8C3ctxq1tqvaCgkFb8cCA/edit?usp=sharing"",""มุกดาหาร!I292"")"),1000)</f>
        <v>1000</v>
      </c>
      <c r="J397" s="199">
        <f ca="1">IFERROR(__xludf.DUMMYFUNCTION("IMPORTRANGE(""https://docs.google.com/spreadsheets/d/1XL5vhW3sbDhbH9Cz0tuDiY8C3ctxq1tqvaCgkFb8cCA/edit?usp=sharing"",""มุกดาหาร!J292"")"),0)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IFERROR(__xludf.DUMMYFUNCTION("IMPORTRANGE(""https://docs.google.com/spreadsheets/d/1XL5vhW3sbDhbH9Cz0tuDiY8C3ctxq1tqvaCgkFb8cCA/edit?usp=sharing"",""มุกดาหาร!I293"")"),100)</f>
        <v>100</v>
      </c>
      <c r="J398" s="199">
        <f ca="1">IFERROR(__xludf.DUMMYFUNCTION("IMPORTRANGE(""https://docs.google.com/spreadsheets/d/1XL5vhW3sbDhbH9Cz0tuDiY8C3ctxq1tqvaCgkFb8cCA/edit?usp=sharing"",""มุกดาหาร!J293"")"),0)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IFERROR(__xludf.DUMMYFUNCTION("IMPORTRANGE(""https://docs.google.com/spreadsheets/d/1XL5vhW3sbDhbH9Cz0tuDiY8C3ctxq1tqvaCgkFb8cCA/edit?usp=sharing"",""มุกดาหาร!J294"")"),0)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IFERROR(__xludf.DUMMYFUNCTION("IMPORTRANGE(""https://docs.google.com/spreadsheets/d/1XL5vhW3sbDhbH9Cz0tuDiY8C3ctxq1tqvaCgkFb8cCA/edit?usp=sharing"",""มุกดาหาร!J295"")"),0)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IFERROR(__xludf.DUMMYFUNCTION("IMPORTRANGE(""https://docs.google.com/spreadsheets/d/1XL5vhW3sbDhbH9Cz0tuDiY8C3ctxq1tqvaCgkFb8cCA/edit?usp=sharing"",""มุกดาหาร!M296"")"),0)</f>
        <v>0</v>
      </c>
      <c r="O401" s="373">
        <f ca="1">+IF(L401&gt;0,N401*100/L401,0)</f>
        <v>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IFERROR(__xludf.DUMMYFUNCTION("IMPORTRANGE(""https://docs.google.com/spreadsheets/d/1XL5vhW3sbDhbH9Cz0tuDiY8C3ctxq1tqvaCgkFb8cCA/edit?usp=sharing"",""มุกดาหาร!L298"")"),0)</f>
        <v>0</v>
      </c>
      <c r="M403" s="166"/>
      <c r="N403" s="170">
        <f ca="1">IFERROR(__xludf.DUMMYFUNCTION("IMPORTRANGE(""https://docs.google.com/spreadsheets/d/1XL5vhW3sbDhbH9Cz0tuDiY8C3ctxq1tqvaCgkFb8cCA/edit?usp=sharing"",""มุกดาหาร!M298"")"),0)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IFERROR(__xludf.DUMMYFUNCTION("IMPORTRANGE(""https://docs.google.com/spreadsheets/d/1XL5vhW3sbDhbH9Cz0tuDiY8C3ctxq1tqvaCgkFb8cCA/edit?usp=sharing"",""มุกดาหาร!L299"")"),159950)</f>
        <v>159950</v>
      </c>
      <c r="M404" s="167"/>
      <c r="N404" s="170">
        <f ca="1">IFERROR(__xludf.DUMMYFUNCTION("IMPORTRANGE(""https://docs.google.com/spreadsheets/d/1XL5vhW3sbDhbH9Cz0tuDiY8C3ctxq1tqvaCgkFb8cCA/edit?usp=sharing"",""มุกดาหาร!M299"")"),0)</f>
        <v>0</v>
      </c>
      <c r="O404" s="170">
        <f t="shared" ca="1" si="112"/>
        <v>0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IFERROR(__xludf.DUMMYFUNCTION("IMPORTRANGE(""https://docs.google.com/spreadsheets/d/1XL5vhW3sbDhbH9Cz0tuDiY8C3ctxq1tqvaCgkFb8cCA/edit?usp=sharing"",""มุกดาหาร!L300"")"),0)</f>
        <v>0</v>
      </c>
      <c r="M405" s="170"/>
      <c r="N405" s="170">
        <f ca="1">IFERROR(__xludf.DUMMYFUNCTION("IMPORTRANGE(""https://docs.google.com/spreadsheets/d/1XL5vhW3sbDhbH9Cz0tuDiY8C3ctxq1tqvaCgkFb8cCA/edit?usp=sharing"",""มุกดาหาร!M300"")"),0)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IFERROR(__xludf.DUMMYFUNCTION("IMPORTRANGE(""https://docs.google.com/spreadsheets/d/1XL5vhW3sbDhbH9Cz0tuDiY8C3ctxq1tqvaCgkFb8cCA/edit?usp=sharing"",""มุกดาหาร!L301"")"),159950)</f>
        <v>159950</v>
      </c>
      <c r="M406" s="170"/>
      <c r="N406" s="170">
        <f ca="1">IFERROR(__xludf.DUMMYFUNCTION("IMPORTRANGE(""https://docs.google.com/spreadsheets/d/1XL5vhW3sbDhbH9Cz0tuDiY8C3ctxq1tqvaCgkFb8cCA/edit?usp=sharing"",""มุกดาหาร!M301"")"),0)</f>
        <v>0</v>
      </c>
      <c r="O406" s="170">
        <f t="shared" ca="1" si="112"/>
        <v>0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IFERROR(__xludf.DUMMYFUNCTION("IMPORTRANGE(""https://docs.google.com/spreadsheets/d/1XL5vhW3sbDhbH9Cz0tuDiY8C3ctxq1tqvaCgkFb8cCA/edit?usp=sharing"",""มุกดาหาร!M302"")"),0)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IFERROR(__xludf.DUMMYFUNCTION("IMPORTRANGE(""https://docs.google.com/spreadsheets/d/1XL5vhW3sbDhbH9Cz0tuDiY8C3ctxq1tqvaCgkFb8cCA/edit?usp=sharing"",""มุกดาหาร!J307"")"),0)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IFERROR(__xludf.DUMMYFUNCTION("IMPORTRANGE(""https://docs.google.com/spreadsheets/d/1XL5vhW3sbDhbH9Cz0tuDiY8C3ctxq1tqvaCgkFb8cCA/edit?usp=sharing"",""มุกดาหาร!J308"")"),1)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IFERROR(__xludf.DUMMYFUNCTION("IMPORTRANGE(""https://docs.google.com/spreadsheets/d/1XL5vhW3sbDhbH9Cz0tuDiY8C3ctxq1tqvaCgkFb8cCA/edit?usp=sharing"",""มุกดาหาร!J309"")"),1)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IFERROR(__xludf.DUMMYFUNCTION("IMPORTRANGE(""https://docs.google.com/spreadsheets/d/1XL5vhW3sbDhbH9Cz0tuDiY8C3ctxq1tqvaCgkFb8cCA/edit?usp=sharing"",""มุกดาหาร!J310"")"),1)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IFERROR(__xludf.DUMMYFUNCTION("IMPORTRANGE(""https://docs.google.com/spreadsheets/d/1XL5vhW3sbDhbH9Cz0tuDiY8C3ctxq1tqvaCgkFb8cCA/edit?usp=sharing"",""มุกดาหาร!I311"")"),45)</f>
        <v>45</v>
      </c>
      <c r="J416" s="202">
        <f ca="1">IFERROR(__xludf.DUMMYFUNCTION("IMPORTRANGE(""https://docs.google.com/spreadsheets/d/1XL5vhW3sbDhbH9Cz0tuDiY8C3ctxq1tqvaCgkFb8cCA/edit?usp=sharing"",""มุกดาหาร!J311"")"),0)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IFERROR(__xludf.DUMMYFUNCTION("IMPORTRANGE(""https://docs.google.com/spreadsheets/d/1XL5vhW3sbDhbH9Cz0tuDiY8C3ctxq1tqvaCgkFb8cCA/edit?usp=sharing"",""มุกดาหาร!J328"")"),0)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IFERROR(__xludf.DUMMYFUNCTION("IMPORTRANGE(""https://docs.google.com/spreadsheets/d/1XL5vhW3sbDhbH9Cz0tuDiY8C3ctxq1tqvaCgkFb8cCA/edit?usp=sharing"",""มุกดาหาร!M330"")"),44880)</f>
        <v>44880</v>
      </c>
      <c r="O435" s="412">
        <f t="shared" ref="O435:O439" ca="1" si="114">+IF(L435&gt;0,N435*100/L435,0)</f>
        <v>32.28776978417266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IFERROR(__xludf.DUMMYFUNCTION("IMPORTRANGE(""https://docs.google.com/spreadsheets/d/1XL5vhW3sbDhbH9Cz0tuDiY8C3ctxq1tqvaCgkFb8cCA/edit?usp=sharing"",""มุกดาหาร!L331"")"),0)</f>
        <v>0</v>
      </c>
      <c r="M436" s="166"/>
      <c r="N436" s="170">
        <f ca="1">IFERROR(__xludf.DUMMYFUNCTION("IMPORTRANGE(""https://docs.google.com/spreadsheets/d/1XL5vhW3sbDhbH9Cz0tuDiY8C3ctxq1tqvaCgkFb8cCA/edit?usp=sharing"",""มุกดาหาร!M331"")"),0)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IFERROR(__xludf.DUMMYFUNCTION("IMPORTRANGE(""https://docs.google.com/spreadsheets/d/1XL5vhW3sbDhbH9Cz0tuDiY8C3ctxq1tqvaCgkFb8cCA/edit?usp=sharing"",""มุกดาหาร!L332"")"),139000)</f>
        <v>139000</v>
      </c>
      <c r="M437" s="167"/>
      <c r="N437" s="170">
        <f ca="1">IFERROR(__xludf.DUMMYFUNCTION("IMPORTRANGE(""https://docs.google.com/spreadsheets/d/1XL5vhW3sbDhbH9Cz0tuDiY8C3ctxq1tqvaCgkFb8cCA/edit?usp=sharing"",""มุกดาหาร!M332"")"),44880)</f>
        <v>44880</v>
      </c>
      <c r="O437" s="170">
        <f t="shared" ca="1" si="114"/>
        <v>32.28776978417266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IFERROR(__xludf.DUMMYFUNCTION("IMPORTRANGE(""https://docs.google.com/spreadsheets/d/1XL5vhW3sbDhbH9Cz0tuDiY8C3ctxq1tqvaCgkFb8cCA/edit?usp=sharing"",""มุกดาหาร!L333"")"),0)</f>
        <v>0</v>
      </c>
      <c r="M438" s="170"/>
      <c r="N438" s="170">
        <f ca="1">IFERROR(__xludf.DUMMYFUNCTION("IMPORTRANGE(""https://docs.google.com/spreadsheets/d/1XL5vhW3sbDhbH9Cz0tuDiY8C3ctxq1tqvaCgkFb8cCA/edit?usp=sharing"",""มุกดาหาร!M333"")"),0)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IFERROR(__xludf.DUMMYFUNCTION("IMPORTRANGE(""https://docs.google.com/spreadsheets/d/1XL5vhW3sbDhbH9Cz0tuDiY8C3ctxq1tqvaCgkFb8cCA/edit?usp=sharing"",""มุกดาหาร!L334"")"),139000)</f>
        <v>139000</v>
      </c>
      <c r="M439" s="170"/>
      <c r="N439" s="170">
        <f ca="1">IFERROR(__xludf.DUMMYFUNCTION("IMPORTRANGE(""https://docs.google.com/spreadsheets/d/1XL5vhW3sbDhbH9Cz0tuDiY8C3ctxq1tqvaCgkFb8cCA/edit?usp=sharing"",""มุกดาหาร!M334"")"),44880)</f>
        <v>44880</v>
      </c>
      <c r="O439" s="170">
        <f t="shared" ca="1" si="114"/>
        <v>32.28776978417266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IFERROR(__xludf.DUMMYFUNCTION("IMPORTRANGE(""https://docs.google.com/spreadsheets/d/1XL5vhW3sbDhbH9Cz0tuDiY8C3ctxq1tqvaCgkFb8cCA/edit?usp=sharing"",""มุกดาหาร!M335"")"),37280)</f>
        <v>37280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IFERROR(__xludf.DUMMYFUNCTION("IMPORTRANGE(""https://docs.google.com/spreadsheets/d/1XL5vhW3sbDhbH9Cz0tuDiY8C3ctxq1tqvaCgkFb8cCA/edit?usp=sharing"",""มุกดาหาร!M338"")"),7600)</f>
        <v>7600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IFERROR(__xludf.DUMMYFUNCTION("IMPORTRANGE(""https://docs.google.com/spreadsheets/d/1XL5vhW3sbDhbH9Cz0tuDiY8C3ctxq1tqvaCgkFb8cCA/edit?usp=sharing"",""มุกดาหาร!J342"")"),0)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IFERROR(__xludf.DUMMYFUNCTION("IMPORTRANGE(""https://docs.google.com/spreadsheets/d/1XL5vhW3sbDhbH9Cz0tuDiY8C3ctxq1tqvaCgkFb8cCA/edit?usp=sharing"",""มุกดาหาร!J343"")"),0)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2">
        <f ca="1">IFERROR(__xludf.DUMMYFUNCTION("IMPORTRANGE(""https://docs.google.com/spreadsheets/d/1XL5vhW3sbDhbH9Cz0tuDiY8C3ctxq1tqvaCgkFb8cCA/edit?usp=sharing"",""มุกดาหาร!J344"")"),30)</f>
        <v>30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IFERROR(__xludf.DUMMYFUNCTION("IMPORTRANGE(""https://docs.google.com/spreadsheets/d/1XL5vhW3sbDhbH9Cz0tuDiY8C3ctxq1tqvaCgkFb8cCA/edit?usp=sharing"",""มุกดาหาร!I345"")"),30)</f>
        <v>30</v>
      </c>
      <c r="J450" s="190">
        <f ca="1">IFERROR(__xludf.DUMMYFUNCTION("IMPORTRANGE(""https://docs.google.com/spreadsheets/d/1XL5vhW3sbDhbH9Cz0tuDiY8C3ctxq1tqvaCgkFb8cCA/edit?usp=sharing"",""มุกดาหาร!J345"")"),30)</f>
        <v>30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IFERROR(__xludf.DUMMYFUNCTION("IMPORTRANGE(""https://docs.google.com/spreadsheets/d/1XL5vhW3sbDhbH9Cz0tuDiY8C3ctxq1tqvaCgkFb8cCA/edit?usp=sharing"",""มุกดาหาร!I346"")"),0)</f>
        <v>0</v>
      </c>
      <c r="J451" s="189">
        <f ca="1">IFERROR(__xludf.DUMMYFUNCTION("IMPORTRANGE(""https://docs.google.com/spreadsheets/d/1XL5vhW3sbDhbH9Cz0tuDiY8C3ctxq1tqvaCgkFb8cCA/edit?usp=sharing"",""มุกดาหาร!J346"")"),0)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IFERROR(__xludf.DUMMYFUNCTION("IMPORTRANGE(""https://docs.google.com/spreadsheets/d/1XL5vhW3sbDhbH9Cz0tuDiY8C3ctxq1tqvaCgkFb8cCA/edit?usp=sharing"",""มุกดาหาร!I347"")"),0)</f>
        <v>0</v>
      </c>
      <c r="J452" s="189">
        <f ca="1">IFERROR(__xludf.DUMMYFUNCTION("IMPORTRANGE(""https://docs.google.com/spreadsheets/d/1XL5vhW3sbDhbH9Cz0tuDiY8C3ctxq1tqvaCgkFb8cCA/edit?usp=sharing"",""มุกดาหาร!J347"")"),0)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IFERROR(__xludf.DUMMYFUNCTION("IMPORTRANGE(""https://docs.google.com/spreadsheets/d/1XL5vhW3sbDhbH9Cz0tuDiY8C3ctxq1tqvaCgkFb8cCA/edit?usp=sharing"",""มุกดาหาร!J348"")"),0)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IFERROR(__xludf.DUMMYFUNCTION("IMPORTRANGE(""https://docs.google.com/spreadsheets/d/1XL5vhW3sbDhbH9Cz0tuDiY8C3ctxq1tqvaCgkFb8cCA/edit?usp=sharing"",""มุกดาหาร!J349"")"),0)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IFERROR(__xludf.DUMMYFUNCTION("IMPORTRANGE(""https://docs.google.com/spreadsheets/d/1XL5vhW3sbDhbH9Cz0tuDiY8C3ctxq1tqvaCgkFb8cCA/edit?usp=sharing"",""มุกดาหาร!L350"")"),447718)</f>
        <v>447718</v>
      </c>
      <c r="M455" s="373"/>
      <c r="N455" s="373">
        <f ca="1">IFERROR(__xludf.DUMMYFUNCTION("IMPORTRANGE(""https://docs.google.com/spreadsheets/d/1XL5vhW3sbDhbH9Cz0tuDiY8C3ctxq1tqvaCgkFb8cCA/edit?usp=sharing"",""มุกดาหาร!M350"")"),131914)</f>
        <v>131914</v>
      </c>
      <c r="O455" s="373">
        <f t="shared" ref="O455:O459" ca="1" si="116">+IF(L455&gt;0,N455*100/L455,0)</f>
        <v>29.463635592046778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IFERROR(__xludf.DUMMYFUNCTION("IMPORTRANGE(""https://docs.google.com/spreadsheets/d/1XL5vhW3sbDhbH9Cz0tuDiY8C3ctxq1tqvaCgkFb8cCA/edit?usp=sharing"",""มุกดาหาร!L351"")"),0)</f>
        <v>0</v>
      </c>
      <c r="M456" s="166"/>
      <c r="N456" s="170">
        <f ca="1">IFERROR(__xludf.DUMMYFUNCTION("IMPORTRANGE(""https://docs.google.com/spreadsheets/d/1XL5vhW3sbDhbH9Cz0tuDiY8C3ctxq1tqvaCgkFb8cCA/edit?usp=sharing"",""มุกดาหาร!M351"")"),0)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IFERROR(__xludf.DUMMYFUNCTION("IMPORTRANGE(""https://docs.google.com/spreadsheets/d/1XL5vhW3sbDhbH9Cz0tuDiY8C3ctxq1tqvaCgkFb8cCA/edit?usp=sharing"",""มุกดาหาร!L352"")"),447718)</f>
        <v>447718</v>
      </c>
      <c r="M457" s="167"/>
      <c r="N457" s="170">
        <f ca="1">IFERROR(__xludf.DUMMYFUNCTION("IMPORTRANGE(""https://docs.google.com/spreadsheets/d/1XL5vhW3sbDhbH9Cz0tuDiY8C3ctxq1tqvaCgkFb8cCA/edit?usp=sharing"",""มุกดาหาร!M352"")"),131914)</f>
        <v>131914</v>
      </c>
      <c r="O457" s="170">
        <f t="shared" ca="1" si="116"/>
        <v>29.463635592046778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IFERROR(__xludf.DUMMYFUNCTION("IMPORTRANGE(""https://docs.google.com/spreadsheets/d/1XL5vhW3sbDhbH9Cz0tuDiY8C3ctxq1tqvaCgkFb8cCA/edit?usp=sharing"",""มุกดาหาร!L353"")"),0)</f>
        <v>0</v>
      </c>
      <c r="M458" s="170"/>
      <c r="N458" s="170">
        <f ca="1">IFERROR(__xludf.DUMMYFUNCTION("IMPORTRANGE(""https://docs.google.com/spreadsheets/d/1XL5vhW3sbDhbH9Cz0tuDiY8C3ctxq1tqvaCgkFb8cCA/edit?usp=sharing"",""มุกดาหาร!M353"")"),0)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IFERROR(__xludf.DUMMYFUNCTION("IMPORTRANGE(""https://docs.google.com/spreadsheets/d/1XL5vhW3sbDhbH9Cz0tuDiY8C3ctxq1tqvaCgkFb8cCA/edit?usp=sharing"",""มุกดาหาร!L354"")"),447718)</f>
        <v>447718</v>
      </c>
      <c r="M459" s="170"/>
      <c r="N459" s="170">
        <f ca="1">IFERROR(__xludf.DUMMYFUNCTION("IMPORTRANGE(""https://docs.google.com/spreadsheets/d/1XL5vhW3sbDhbH9Cz0tuDiY8C3ctxq1tqvaCgkFb8cCA/edit?usp=sharing"",""มุกดาหาร!M354"")"),131914)</f>
        <v>131914</v>
      </c>
      <c r="O459" s="170">
        <f t="shared" ca="1" si="116"/>
        <v>29.463635592046778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IFERROR(__xludf.DUMMYFUNCTION("IMPORTRANGE(""https://docs.google.com/spreadsheets/d/1XL5vhW3sbDhbH9Cz0tuDiY8C3ctxq1tqvaCgkFb8cCA/edit?usp=sharing"",""มุกดาหาร!M355"")"),0)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IFERROR(__xludf.DUMMYFUNCTION("IMPORTRANGE(""https://docs.google.com/spreadsheets/d/1XL5vhW3sbDhbH9Cz0tuDiY8C3ctxq1tqvaCgkFb8cCA/edit?usp=sharing"",""มุกดาหาร!M356"")"),0)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IFERROR(__xludf.DUMMYFUNCTION("IMPORTRANGE(""https://docs.google.com/spreadsheets/d/1XL5vhW3sbDhbH9Cz0tuDiY8C3ctxq1tqvaCgkFb8cCA/edit?usp=sharing"",""มุกดาหาร!M357"")"),52800)</f>
        <v>52800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IFERROR(__xludf.DUMMYFUNCTION("IMPORTRANGE(""https://docs.google.com/spreadsheets/d/1XL5vhW3sbDhbH9Cz0tuDiY8C3ctxq1tqvaCgkFb8cCA/edit?usp=sharing"",""มุกดาหาร!M358"")"),79114)</f>
        <v>79114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IFERROR(__xludf.DUMMYFUNCTION("IMPORTRANGE(""https://docs.google.com/spreadsheets/d/1XL5vhW3sbDhbH9Cz0tuDiY8C3ctxq1tqvaCgkFb8cCA/edit?usp=sharing"",""มุกดาหาร!I362"")"),0)</f>
        <v>0</v>
      </c>
      <c r="J467" s="190">
        <f ca="1">IFERROR(__xludf.DUMMYFUNCTION("IMPORTRANGE(""https://docs.google.com/spreadsheets/d/1XL5vhW3sbDhbH9Cz0tuDiY8C3ctxq1tqvaCgkFb8cCA/edit?usp=sharing"",""มุกดาหาร!J362"")"),31673)</f>
        <v>31673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IFERROR(__xludf.DUMMYFUNCTION("IMPORTRANGE(""https://docs.google.com/spreadsheets/d/1XL5vhW3sbDhbH9Cz0tuDiY8C3ctxq1tqvaCgkFb8cCA/edit?usp=sharing"",""มุกดาหาร!I363"")"),0)</f>
        <v>0</v>
      </c>
      <c r="J468" s="190">
        <f ca="1">IFERROR(__xludf.DUMMYFUNCTION("IMPORTRANGE(""https://docs.google.com/spreadsheets/d/1XL5vhW3sbDhbH9Cz0tuDiY8C3ctxq1tqvaCgkFb8cCA/edit?usp=sharing"",""มุกดาหาร!J363"")"),4063)</f>
        <v>4063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IFERROR(__xludf.DUMMYFUNCTION("IMPORTRANGE(""https://docs.google.com/spreadsheets/d/1XL5vhW3sbDhbH9Cz0tuDiY8C3ctxq1tqvaCgkFb8cCA/edit?usp=sharing"",""มุกดาหาร!I364"")"),0)</f>
        <v>0</v>
      </c>
      <c r="J469" s="190">
        <f ca="1">IFERROR(__xludf.DUMMYFUNCTION("IMPORTRANGE(""https://docs.google.com/spreadsheets/d/1XL5vhW3sbDhbH9Cz0tuDiY8C3ctxq1tqvaCgkFb8cCA/edit?usp=sharing"",""มุกดาหาร!J364"")"),6062)</f>
        <v>6062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IFERROR(__xludf.DUMMYFUNCTION("IMPORTRANGE(""https://docs.google.com/spreadsheets/d/1XL5vhW3sbDhbH9Cz0tuDiY8C3ctxq1tqvaCgkFb8cCA/edit?usp=sharing"",""มุกดาหาร!I365"")"),0)</f>
        <v>0</v>
      </c>
      <c r="J470" s="190">
        <f ca="1">IFERROR(__xludf.DUMMYFUNCTION("IMPORTRANGE(""https://docs.google.com/spreadsheets/d/1XL5vhW3sbDhbH9Cz0tuDiY8C3ctxq1tqvaCgkFb8cCA/edit?usp=sharing"",""มุกดาหาร!J365"")"),540)</f>
        <v>540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IFERROR(__xludf.DUMMYFUNCTION("IMPORTRANGE(""https://docs.google.com/spreadsheets/d/1XL5vhW3sbDhbH9Cz0tuDiY8C3ctxq1tqvaCgkFb8cCA/edit?usp=sharing"",""มุกดาหาร!I366"")"),0)</f>
        <v>0</v>
      </c>
      <c r="J471" s="190">
        <f ca="1">IFERROR(__xludf.DUMMYFUNCTION("IMPORTRANGE(""https://docs.google.com/spreadsheets/d/1XL5vhW3sbDhbH9Cz0tuDiY8C3ctxq1tqvaCgkFb8cCA/edit?usp=sharing"",""มุกดาหาร!J366"")"),1010)</f>
        <v>1010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IFERROR(__xludf.DUMMYFUNCTION("IMPORTRANGE(""https://docs.google.com/spreadsheets/d/1XL5vhW3sbDhbH9Cz0tuDiY8C3ctxq1tqvaCgkFb8cCA/edit?usp=sharing"",""มุกดาหาร!I367"")"),0)</f>
        <v>0</v>
      </c>
      <c r="J472" s="190">
        <f ca="1">IFERROR(__xludf.DUMMYFUNCTION("IMPORTRANGE(""https://docs.google.com/spreadsheets/d/1XL5vhW3sbDhbH9Cz0tuDiY8C3ctxq1tqvaCgkFb8cCA/edit?usp=sharing"",""มุกดาหาร!J367"")"),112)</f>
        <v>112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IFERROR(__xludf.DUMMYFUNCTION("IMPORTRANGE(""https://docs.google.com/spreadsheets/d/1XL5vhW3sbDhbH9Cz0tuDiY8C3ctxq1tqvaCgkFb8cCA/edit?usp=sharing"",""มุกดาหาร!J368"")"),38743.68)</f>
        <v>38743.68</v>
      </c>
      <c r="K473" s="203">
        <f t="shared" ca="1" si="117"/>
        <v>99.996593108788232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IFERROR(__xludf.DUMMYFUNCTION("IMPORTRANGE(""https://docs.google.com/spreadsheets/d/1XL5vhW3sbDhbH9Cz0tuDiY8C3ctxq1tqvaCgkFb8cCA/edit?usp=sharing"",""มุกดาหาร!I370"")"),0)</f>
        <v>0</v>
      </c>
      <c r="J475" s="190">
        <f ca="1">IFERROR(__xludf.DUMMYFUNCTION("IMPORTRANGE(""https://docs.google.com/spreadsheets/d/1XL5vhW3sbDhbH9Cz0tuDiY8C3ctxq1tqvaCgkFb8cCA/edit?usp=sharing"",""มุกดาหาร!J370"")"),33987.35)</f>
        <v>33987.35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IFERROR(__xludf.DUMMYFUNCTION("IMPORTRANGE(""https://docs.google.com/spreadsheets/d/1XL5vhW3sbDhbH9Cz0tuDiY8C3ctxq1tqvaCgkFb8cCA/edit?usp=sharing"",""มุกดาหาร!I371"")"),0)</f>
        <v>0</v>
      </c>
      <c r="J476" s="190">
        <f ca="1">IFERROR(__xludf.DUMMYFUNCTION("IMPORTRANGE(""https://docs.google.com/spreadsheets/d/1XL5vhW3sbDhbH9Cz0tuDiY8C3ctxq1tqvaCgkFb8cCA/edit?usp=sharing"",""มุกดาหาร!J371"")"),4285)</f>
        <v>4285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IFERROR(__xludf.DUMMYFUNCTION("IMPORTRANGE(""https://docs.google.com/spreadsheets/d/1XL5vhW3sbDhbH9Cz0tuDiY8C3ctxq1tqvaCgkFb8cCA/edit?usp=sharing"",""มุกดาหาร!I372"")"),0)</f>
        <v>0</v>
      </c>
      <c r="J477" s="190">
        <f ca="1">IFERROR(__xludf.DUMMYFUNCTION("IMPORTRANGE(""https://docs.google.com/spreadsheets/d/1XL5vhW3sbDhbH9Cz0tuDiY8C3ctxq1tqvaCgkFb8cCA/edit?usp=sharing"",""มุกดาหาร!J372"")"),3728.33)</f>
        <v>3728.33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IFERROR(__xludf.DUMMYFUNCTION("IMPORTRANGE(""https://docs.google.com/spreadsheets/d/1XL5vhW3sbDhbH9Cz0tuDiY8C3ctxq1tqvaCgkFb8cCA/edit?usp=sharing"",""มุกดาหาร!I373"")"),0)</f>
        <v>0</v>
      </c>
      <c r="J478" s="190">
        <f ca="1">IFERROR(__xludf.DUMMYFUNCTION("IMPORTRANGE(""https://docs.google.com/spreadsheets/d/1XL5vhW3sbDhbH9Cz0tuDiY8C3ctxq1tqvaCgkFb8cCA/edit?usp=sharing"",""มุกดาหาร!J373"")"),316)</f>
        <v>316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IFERROR(__xludf.DUMMYFUNCTION("IMPORTRANGE(""https://docs.google.com/spreadsheets/d/1XL5vhW3sbDhbH9Cz0tuDiY8C3ctxq1tqvaCgkFb8cCA/edit?usp=sharing"",""มุกดาหาร!I374"")"),0)</f>
        <v>0</v>
      </c>
      <c r="J479" s="190">
        <f ca="1">IFERROR(__xludf.DUMMYFUNCTION("IMPORTRANGE(""https://docs.google.com/spreadsheets/d/1XL5vhW3sbDhbH9Cz0tuDiY8C3ctxq1tqvaCgkFb8cCA/edit?usp=sharing"",""มุกดาหาร!J374"")"),1028)</f>
        <v>1028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IFERROR(__xludf.DUMMYFUNCTION("IMPORTRANGE(""https://docs.google.com/spreadsheets/d/1XL5vhW3sbDhbH9Cz0tuDiY8C3ctxq1tqvaCgkFb8cCA/edit?usp=sharing"",""มุกดาหาร!I375"")"),0)</f>
        <v>0</v>
      </c>
      <c r="J480" s="190">
        <f ca="1">IFERROR(__xludf.DUMMYFUNCTION("IMPORTRANGE(""https://docs.google.com/spreadsheets/d/1XL5vhW3sbDhbH9Cz0tuDiY8C3ctxq1tqvaCgkFb8cCA/edit?usp=sharing"",""มุกดาหาร!J375"")"),114)</f>
        <v>114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IFERROR(__xludf.DUMMYFUNCTION("IMPORTRANGE(""https://docs.google.com/spreadsheets/d/1XL5vhW3sbDhbH9Cz0tuDiY8C3ctxq1tqvaCgkFb8cCA/edit?usp=sharing"",""มุกดาหาร!I378"")"),0)</f>
        <v>0</v>
      </c>
      <c r="J483" s="190">
        <f ca="1">IFERROR(__xludf.DUMMYFUNCTION("IMPORTRANGE(""https://docs.google.com/spreadsheets/d/1XL5vhW3sbDhbH9Cz0tuDiY8C3ctxq1tqvaCgkFb8cCA/edit?usp=sharing"",""มุกดาหาร!J378"")"),0)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IFERROR(__xludf.DUMMYFUNCTION("IMPORTRANGE(""https://docs.google.com/spreadsheets/d/1XL5vhW3sbDhbH9Cz0tuDiY8C3ctxq1tqvaCgkFb8cCA/edit?usp=sharing"",""มุกดาหาร!I379"")"),0)</f>
        <v>0</v>
      </c>
      <c r="J484" s="190">
        <f ca="1">IFERROR(__xludf.DUMMYFUNCTION("IMPORTRANGE(""https://docs.google.com/spreadsheets/d/1XL5vhW3sbDhbH9Cz0tuDiY8C3ctxq1tqvaCgkFb8cCA/edit?usp=sharing"",""มุกดาหาร!J379"")"),0)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IFERROR(__xludf.DUMMYFUNCTION("IMPORTRANGE(""https://docs.google.com/spreadsheets/d/1XL5vhW3sbDhbH9Cz0tuDiY8C3ctxq1tqvaCgkFb8cCA/edit?usp=sharing"",""มุกดาหาร!I380"")"),0)</f>
        <v>0</v>
      </c>
      <c r="J485" s="190">
        <f ca="1">IFERROR(__xludf.DUMMYFUNCTION("IMPORTRANGE(""https://docs.google.com/spreadsheets/d/1XL5vhW3sbDhbH9Cz0tuDiY8C3ctxq1tqvaCgkFb8cCA/edit?usp=sharing"",""มุกดาหาร!J380"")"),0)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IFERROR(__xludf.DUMMYFUNCTION("IMPORTRANGE(""https://docs.google.com/spreadsheets/d/1XL5vhW3sbDhbH9Cz0tuDiY8C3ctxq1tqvaCgkFb8cCA/edit?usp=sharing"",""มุกดาหาร!I381"")"),0)</f>
        <v>0</v>
      </c>
      <c r="J486" s="190">
        <f ca="1">IFERROR(__xludf.DUMMYFUNCTION("IMPORTRANGE(""https://docs.google.com/spreadsheets/d/1XL5vhW3sbDhbH9Cz0tuDiY8C3ctxq1tqvaCgkFb8cCA/edit?usp=sharing"",""มุกดาหาร!J381"")"),0)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IFERROR(__xludf.DUMMYFUNCTION("IMPORTRANGE(""https://docs.google.com/spreadsheets/d/1XL5vhW3sbDhbH9Cz0tuDiY8C3ctxq1tqvaCgkFb8cCA/edit?usp=sharing"",""มุกดาหาร!I384"")"),0)</f>
        <v>0</v>
      </c>
      <c r="J489" s="190">
        <f ca="1">IFERROR(__xludf.DUMMYFUNCTION("IMPORTRANGE(""https://docs.google.com/spreadsheets/d/1XL5vhW3sbDhbH9Cz0tuDiY8C3ctxq1tqvaCgkFb8cCA/edit?usp=sharing"",""มุกดาหาร!J384"")"),0)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IFERROR(__xludf.DUMMYFUNCTION("IMPORTRANGE(""https://docs.google.com/spreadsheets/d/1XL5vhW3sbDhbH9Cz0tuDiY8C3ctxq1tqvaCgkFb8cCA/edit?usp=sharing"",""มุกดาหาร!I385"")"),0)</f>
        <v>0</v>
      </c>
      <c r="J490" s="190">
        <f ca="1">IFERROR(__xludf.DUMMYFUNCTION("IMPORTRANGE(""https://docs.google.com/spreadsheets/d/1XL5vhW3sbDhbH9Cz0tuDiY8C3ctxq1tqvaCgkFb8cCA/edit?usp=sharing"",""มุกดาหาร!J385"")"),0)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IFERROR(__xludf.DUMMYFUNCTION("IMPORTRANGE(""https://docs.google.com/spreadsheets/d/1XL5vhW3sbDhbH9Cz0tuDiY8C3ctxq1tqvaCgkFb8cCA/edit?usp=sharing"",""มุกดาหาร!I386"")"),0)</f>
        <v>0</v>
      </c>
      <c r="J491" s="190">
        <f ca="1">IFERROR(__xludf.DUMMYFUNCTION("IMPORTRANGE(""https://docs.google.com/spreadsheets/d/1XL5vhW3sbDhbH9Cz0tuDiY8C3ctxq1tqvaCgkFb8cCA/edit?usp=sharing"",""มุกดาหาร!J386"")"),0)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IFERROR(__xludf.DUMMYFUNCTION("IMPORTRANGE(""https://docs.google.com/spreadsheets/d/1XL5vhW3sbDhbH9Cz0tuDiY8C3ctxq1tqvaCgkFb8cCA/edit?usp=sharing"",""มุกดาหาร!I387"")"),0)</f>
        <v>0</v>
      </c>
      <c r="J492" s="190">
        <f ca="1">IFERROR(__xludf.DUMMYFUNCTION("IMPORTRANGE(""https://docs.google.com/spreadsheets/d/1XL5vhW3sbDhbH9Cz0tuDiY8C3ctxq1tqvaCgkFb8cCA/edit?usp=sharing"",""มุกดาหาร!J387"")"),0)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IFERROR(__xludf.DUMMYFUNCTION("IMPORTRANGE(""https://docs.google.com/spreadsheets/d/1XL5vhW3sbDhbH9Cz0tuDiY8C3ctxq1tqvaCgkFb8cCA/edit?usp=sharing"",""มุกดาหาร!I388"")"),0)</f>
        <v>0</v>
      </c>
      <c r="J493" s="190">
        <f ca="1">IFERROR(__xludf.DUMMYFUNCTION("IMPORTRANGE(""https://docs.google.com/spreadsheets/d/1XL5vhW3sbDhbH9Cz0tuDiY8C3ctxq1tqvaCgkFb8cCA/edit?usp=sharing"",""มุกดาหาร!J388"")"),0)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IFERROR(__xludf.DUMMYFUNCTION("IMPORTRANGE(""https://docs.google.com/spreadsheets/d/1XL5vhW3sbDhbH9Cz0tuDiY8C3ctxq1tqvaCgkFb8cCA/edit?usp=sharing"",""มุกดาหาร!J392"")"),391.58)</f>
        <v>391.58</v>
      </c>
      <c r="K497" s="444">
        <f t="shared" ca="1" si="117"/>
        <v>17.182097411145239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IFERROR(__xludf.DUMMYFUNCTION("IMPORTRANGE(""https://docs.google.com/spreadsheets/d/1XL5vhW3sbDhbH9Cz0tuDiY8C3ctxq1tqvaCgkFb8cCA/edit?usp=sharing"",""มุกดาหาร!J393"")"),391.58)</f>
        <v>391.58</v>
      </c>
      <c r="K498" s="165">
        <f t="shared" ca="1" si="117"/>
        <v>17.182097411145239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IFERROR(__xludf.DUMMYFUNCTION("IMPORTRANGE(""https://docs.google.com/spreadsheets/d/1XL5vhW3sbDhbH9Cz0tuDiY8C3ctxq1tqvaCgkFb8cCA/edit?usp=sharing"",""มุกดาหาร!J394"")"),34)</f>
        <v>34</v>
      </c>
      <c r="K499" s="203">
        <f t="shared" ca="1" si="117"/>
        <v>18.085106382978722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IFERROR(__xludf.DUMMYFUNCTION("IMPORTRANGE(""https://docs.google.com/spreadsheets/d/1XL5vhW3sbDhbH9Cz0tuDiY8C3ctxq1tqvaCgkFb8cCA/edit?usp=sharing"",""มุกดาหาร!I395"")"),0)</f>
        <v>0</v>
      </c>
      <c r="J500" s="164">
        <f ca="1">IFERROR(__xludf.DUMMYFUNCTION("IMPORTRANGE(""https://docs.google.com/spreadsheets/d/1XL5vhW3sbDhbH9Cz0tuDiY8C3ctxq1tqvaCgkFb8cCA/edit?usp=sharing"",""มุกดาหาร!J395"")"),325.83)</f>
        <v>325.83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IFERROR(__xludf.DUMMYFUNCTION("IMPORTRANGE(""https://docs.google.com/spreadsheets/d/1XL5vhW3sbDhbH9Cz0tuDiY8C3ctxq1tqvaCgkFb8cCA/edit?usp=sharing"",""มุกดาหาร!I396"")"),0)</f>
        <v>0</v>
      </c>
      <c r="J501" s="164">
        <f ca="1">IFERROR(__xludf.DUMMYFUNCTION("IMPORTRANGE(""https://docs.google.com/spreadsheets/d/1XL5vhW3sbDhbH9Cz0tuDiY8C3ctxq1tqvaCgkFb8cCA/edit?usp=sharing"",""มุกดาหาร!J396"")"),32)</f>
        <v>32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IFERROR(__xludf.DUMMYFUNCTION("IMPORTRANGE(""https://docs.google.com/spreadsheets/d/1XL5vhW3sbDhbH9Cz0tuDiY8C3ctxq1tqvaCgkFb8cCA/edit?usp=sharing"",""มุกดาหาร!I397"")"),0)</f>
        <v>0</v>
      </c>
      <c r="J502" s="190">
        <f ca="1">IFERROR(__xludf.DUMMYFUNCTION("IMPORTRANGE(""https://docs.google.com/spreadsheets/d/1XL5vhW3sbDhbH9Cz0tuDiY8C3ctxq1tqvaCgkFb8cCA/edit?usp=sharing"",""มุกดาหาร!J397"")"),182.08)</f>
        <v>182.08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IFERROR(__xludf.DUMMYFUNCTION("IMPORTRANGE(""https://docs.google.com/spreadsheets/d/1XL5vhW3sbDhbH9Cz0tuDiY8C3ctxq1tqvaCgkFb8cCA/edit?usp=sharing"",""มุกดาหาร!I398"")"),0)</f>
        <v>0</v>
      </c>
      <c r="J503" s="199">
        <f ca="1">IFERROR(__xludf.DUMMYFUNCTION("IMPORTRANGE(""https://docs.google.com/spreadsheets/d/1XL5vhW3sbDhbH9Cz0tuDiY8C3ctxq1tqvaCgkFb8cCA/edit?usp=sharing"",""มุกดาหาร!J398"")"),13)</f>
        <v>13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IFERROR(__xludf.DUMMYFUNCTION("IMPORTRANGE(""https://docs.google.com/spreadsheets/d/1XL5vhW3sbDhbH9Cz0tuDiY8C3ctxq1tqvaCgkFb8cCA/edit?usp=sharing"",""มุกดาหาร!I399"")"),0)</f>
        <v>0</v>
      </c>
      <c r="J504" s="190">
        <f ca="1">IFERROR(__xludf.DUMMYFUNCTION("IMPORTRANGE(""https://docs.google.com/spreadsheets/d/1XL5vhW3sbDhbH9Cz0tuDiY8C3ctxq1tqvaCgkFb8cCA/edit?usp=sharing"",""มุกดาหาร!J399"")"),143.75)</f>
        <v>143.75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IFERROR(__xludf.DUMMYFUNCTION("IMPORTRANGE(""https://docs.google.com/spreadsheets/d/1XL5vhW3sbDhbH9Cz0tuDiY8C3ctxq1tqvaCgkFb8cCA/edit?usp=sharing"",""มุกดาหาร!I400"")"),0)</f>
        <v>0</v>
      </c>
      <c r="J505" s="199">
        <f ca="1">IFERROR(__xludf.DUMMYFUNCTION("IMPORTRANGE(""https://docs.google.com/spreadsheets/d/1XL5vhW3sbDhbH9Cz0tuDiY8C3ctxq1tqvaCgkFb8cCA/edit?usp=sharing"",""มุกดาหาร!J400"")"),19)</f>
        <v>19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IFERROR(__xludf.DUMMYFUNCTION("IMPORTRANGE(""https://docs.google.com/spreadsheets/d/1XL5vhW3sbDhbH9Cz0tuDiY8C3ctxq1tqvaCgkFb8cCA/edit?usp=sharing"",""มุกดาหาร!I401"")"),0)</f>
        <v>0</v>
      </c>
      <c r="J506" s="190">
        <f ca="1">IFERROR(__xludf.DUMMYFUNCTION("IMPORTRANGE(""https://docs.google.com/spreadsheets/d/1XL5vhW3sbDhbH9Cz0tuDiY8C3ctxq1tqvaCgkFb8cCA/edit?usp=sharing"",""มุกดาหาร!J401"")"),0)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IFERROR(__xludf.DUMMYFUNCTION("IMPORTRANGE(""https://docs.google.com/spreadsheets/d/1XL5vhW3sbDhbH9Cz0tuDiY8C3ctxq1tqvaCgkFb8cCA/edit?usp=sharing"",""มุกดาหาร!I402"")"),0)</f>
        <v>0</v>
      </c>
      <c r="J507" s="199">
        <f ca="1">IFERROR(__xludf.DUMMYFUNCTION("IMPORTRANGE(""https://docs.google.com/spreadsheets/d/1XL5vhW3sbDhbH9Cz0tuDiY8C3ctxq1tqvaCgkFb8cCA/edit?usp=sharing"",""มุกดาหาร!J402"")"),0)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IFERROR(__xludf.DUMMYFUNCTION("IMPORTRANGE(""https://docs.google.com/spreadsheets/d/1XL5vhW3sbDhbH9Cz0tuDiY8C3ctxq1tqvaCgkFb8cCA/edit?usp=sharing"",""มุกดาหาร!I403"")"),0)</f>
        <v>0</v>
      </c>
      <c r="J508" s="164">
        <f ca="1">IFERROR(__xludf.DUMMYFUNCTION("IMPORTRANGE(""https://docs.google.com/spreadsheets/d/1XL5vhW3sbDhbH9Cz0tuDiY8C3ctxq1tqvaCgkFb8cCA/edit?usp=sharing"",""มุกดาหาร!J403"")"),65.75)</f>
        <v>65.75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IFERROR(__xludf.DUMMYFUNCTION("IMPORTRANGE(""https://docs.google.com/spreadsheets/d/1XL5vhW3sbDhbH9Cz0tuDiY8C3ctxq1tqvaCgkFb8cCA/edit?usp=sharing"",""มุกดาหาร!I404"")"),0)</f>
        <v>0</v>
      </c>
      <c r="J509" s="164">
        <f ca="1">IFERROR(__xludf.DUMMYFUNCTION("IMPORTRANGE(""https://docs.google.com/spreadsheets/d/1XL5vhW3sbDhbH9Cz0tuDiY8C3ctxq1tqvaCgkFb8cCA/edit?usp=sharing"",""มุกดาหาร!J404"")"),2)</f>
        <v>2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IFERROR(__xludf.DUMMYFUNCTION("IMPORTRANGE(""https://docs.google.com/spreadsheets/d/1XL5vhW3sbDhbH9Cz0tuDiY8C3ctxq1tqvaCgkFb8cCA/edit?usp=sharing"",""มุกดาหาร!I405"")"),0)</f>
        <v>0</v>
      </c>
      <c r="J510" s="199">
        <f ca="1">IFERROR(__xludf.DUMMYFUNCTION("IMPORTRANGE(""https://docs.google.com/spreadsheets/d/1XL5vhW3sbDhbH9Cz0tuDiY8C3ctxq1tqvaCgkFb8cCA/edit?usp=sharing"",""มุกดาหาร!J405"")"),65.75)</f>
        <v>65.75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IFERROR(__xludf.DUMMYFUNCTION("IMPORTRANGE(""https://docs.google.com/spreadsheets/d/1XL5vhW3sbDhbH9Cz0tuDiY8C3ctxq1tqvaCgkFb8cCA/edit?usp=sharing"",""มุกดาหาร!I406"")"),0)</f>
        <v>0</v>
      </c>
      <c r="J511" s="199">
        <f ca="1">IFERROR(__xludf.DUMMYFUNCTION("IMPORTRANGE(""https://docs.google.com/spreadsheets/d/1XL5vhW3sbDhbH9Cz0tuDiY8C3ctxq1tqvaCgkFb8cCA/edit?usp=sharing"",""มุกดาหาร!J406"")"),2)</f>
        <v>2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IFERROR(__xludf.DUMMYFUNCTION("IMPORTRANGE(""https://docs.google.com/spreadsheets/d/1XL5vhW3sbDhbH9Cz0tuDiY8C3ctxq1tqvaCgkFb8cCA/edit?usp=sharing"",""มุกดาหาร!I407"")"),0)</f>
        <v>0</v>
      </c>
      <c r="J512" s="199">
        <f ca="1">IFERROR(__xludf.DUMMYFUNCTION("IMPORTRANGE(""https://docs.google.com/spreadsheets/d/1XL5vhW3sbDhbH9Cz0tuDiY8C3ctxq1tqvaCgkFb8cCA/edit?usp=sharing"",""มุกดาหาร!J407"")"),0)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IFERROR(__xludf.DUMMYFUNCTION("IMPORTRANGE(""https://docs.google.com/spreadsheets/d/1XL5vhW3sbDhbH9Cz0tuDiY8C3ctxq1tqvaCgkFb8cCA/edit?usp=sharing"",""มุกดาหาร!I408"")"),0)</f>
        <v>0</v>
      </c>
      <c r="J513" s="199">
        <f ca="1">IFERROR(__xludf.DUMMYFUNCTION("IMPORTRANGE(""https://docs.google.com/spreadsheets/d/1XL5vhW3sbDhbH9Cz0tuDiY8C3ctxq1tqvaCgkFb8cCA/edit?usp=sharing"",""มุกดาหาร!J408"")"),0)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IFERROR(__xludf.DUMMYFUNCTION("IMPORTRANGE(""https://docs.google.com/spreadsheets/d/1XL5vhW3sbDhbH9Cz0tuDiY8C3ctxq1tqvaCgkFb8cCA/edit?usp=sharing"",""มุกดาหาร!I409"")"),0)</f>
        <v>0</v>
      </c>
      <c r="J514" s="199">
        <f ca="1">IFERROR(__xludf.DUMMYFUNCTION("IMPORTRANGE(""https://docs.google.com/spreadsheets/d/1XL5vhW3sbDhbH9Cz0tuDiY8C3ctxq1tqvaCgkFb8cCA/edit?usp=sharing"",""มุกดาหาร!J409"")"),0)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IFERROR(__xludf.DUMMYFUNCTION("IMPORTRANGE(""https://docs.google.com/spreadsheets/d/1XL5vhW3sbDhbH9Cz0tuDiY8C3ctxq1tqvaCgkFb8cCA/edit?usp=sharing"",""มุกดาหาร!I410"")"),0)</f>
        <v>0</v>
      </c>
      <c r="J515" s="199">
        <f ca="1">IFERROR(__xludf.DUMMYFUNCTION("IMPORTRANGE(""https://docs.google.com/spreadsheets/d/1XL5vhW3sbDhbH9Cz0tuDiY8C3ctxq1tqvaCgkFb8cCA/edit?usp=sharing"",""มุกดาหาร!J410"")"),0)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IFERROR(__xludf.DUMMYFUNCTION("IMPORTRANGE(""https://docs.google.com/spreadsheets/d/1XL5vhW3sbDhbH9Cz0tuDiY8C3ctxq1tqvaCgkFb8cCA/edit?usp=sharing"",""มุกดาหาร!I412"")"),0)</f>
        <v>0</v>
      </c>
      <c r="J517" s="284">
        <f ca="1">IFERROR(__xludf.DUMMYFUNCTION("IMPORTRANGE(""https://docs.google.com/spreadsheets/d/1XL5vhW3sbDhbH9Cz0tuDiY8C3ctxq1tqvaCgkFb8cCA/edit?usp=sharing"",""มุกดาหาร!J412"")"),0)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IFERROR(__xludf.DUMMYFUNCTION("IMPORTRANGE(""https://docs.google.com/spreadsheets/d/1XL5vhW3sbDhbH9Cz0tuDiY8C3ctxq1tqvaCgkFb8cCA/edit?usp=sharing"",""มุกดาหาร!I413"")"),0)</f>
        <v>0</v>
      </c>
      <c r="J518" s="284">
        <f ca="1">IFERROR(__xludf.DUMMYFUNCTION("IMPORTRANGE(""https://docs.google.com/spreadsheets/d/1XL5vhW3sbDhbH9Cz0tuDiY8C3ctxq1tqvaCgkFb8cCA/edit?usp=sharing"",""มุกดาหาร!J413"")"),0)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IFERROR(__xludf.DUMMYFUNCTION("IMPORTRANGE(""https://docs.google.com/spreadsheets/d/1XL5vhW3sbDhbH9Cz0tuDiY8C3ctxq1tqvaCgkFb8cCA/edit?usp=sharing"",""มุกดาหาร!I414"")"),0)</f>
        <v>0</v>
      </c>
      <c r="J519" s="189">
        <f ca="1">IFERROR(__xludf.DUMMYFUNCTION("IMPORTRANGE(""https://docs.google.com/spreadsheets/d/1XL5vhW3sbDhbH9Cz0tuDiY8C3ctxq1tqvaCgkFb8cCA/edit?usp=sharing"",""มุกดาหาร!J414"")"),0)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IFERROR(__xludf.DUMMYFUNCTION("IMPORTRANGE(""https://docs.google.com/spreadsheets/d/1XL5vhW3sbDhbH9Cz0tuDiY8C3ctxq1tqvaCgkFb8cCA/edit?usp=sharing"",""มุกดาหาร!I415"")"),0)</f>
        <v>0</v>
      </c>
      <c r="J520" s="189">
        <f ca="1">IFERROR(__xludf.DUMMYFUNCTION("IMPORTRANGE(""https://docs.google.com/spreadsheets/d/1XL5vhW3sbDhbH9Cz0tuDiY8C3ctxq1tqvaCgkFb8cCA/edit?usp=sharing"",""มุกดาหาร!J415"")"),0)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IFERROR(__xludf.DUMMYFUNCTION("IMPORTRANGE(""https://docs.google.com/spreadsheets/d/1XL5vhW3sbDhbH9Cz0tuDiY8C3ctxq1tqvaCgkFb8cCA/edit?usp=sharing"",""มุกดาหาร!I416"")"),0)</f>
        <v>0</v>
      </c>
      <c r="J521" s="189">
        <f ca="1">IFERROR(__xludf.DUMMYFUNCTION("IMPORTRANGE(""https://docs.google.com/spreadsheets/d/1XL5vhW3sbDhbH9Cz0tuDiY8C3ctxq1tqvaCgkFb8cCA/edit?usp=sharing"",""มุกดาหาร!J416"")"),0)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IFERROR(__xludf.DUMMYFUNCTION("IMPORTRANGE(""https://docs.google.com/spreadsheets/d/1XL5vhW3sbDhbH9Cz0tuDiY8C3ctxq1tqvaCgkFb8cCA/edit?usp=sharing"",""มุกดาหาร!I417"")"),0)</f>
        <v>0</v>
      </c>
      <c r="J522" s="189">
        <f ca="1">IFERROR(__xludf.DUMMYFUNCTION("IMPORTRANGE(""https://docs.google.com/spreadsheets/d/1XL5vhW3sbDhbH9Cz0tuDiY8C3ctxq1tqvaCgkFb8cCA/edit?usp=sharing"",""มุกดาหาร!J417"")"),0)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IFERROR(__xludf.DUMMYFUNCTION("IMPORTRANGE(""https://docs.google.com/spreadsheets/d/1XL5vhW3sbDhbH9Cz0tuDiY8C3ctxq1tqvaCgkFb8cCA/edit?usp=sharing"",""มุกดาหาร!I418"")"),0)</f>
        <v>0</v>
      </c>
      <c r="J523" s="189">
        <f ca="1">IFERROR(__xludf.DUMMYFUNCTION("IMPORTRANGE(""https://docs.google.com/spreadsheets/d/1XL5vhW3sbDhbH9Cz0tuDiY8C3ctxq1tqvaCgkFb8cCA/edit?usp=sharing"",""มุกดาหาร!J418"")"),0)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IFERROR(__xludf.DUMMYFUNCTION("IMPORTRANGE(""https://docs.google.com/spreadsheets/d/1XL5vhW3sbDhbH9Cz0tuDiY8C3ctxq1tqvaCgkFb8cCA/edit?usp=sharing"",""มุกดาหาร!I419"")"),0)</f>
        <v>0</v>
      </c>
      <c r="J524" s="189">
        <f ca="1">IFERROR(__xludf.DUMMYFUNCTION("IMPORTRANGE(""https://docs.google.com/spreadsheets/d/1XL5vhW3sbDhbH9Cz0tuDiY8C3ctxq1tqvaCgkFb8cCA/edit?usp=sharing"",""มุกดาหาร!J419"")"),0)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IFERROR(__xludf.DUMMYFUNCTION("IMPORTRANGE(""https://docs.google.com/spreadsheets/d/1XL5vhW3sbDhbH9Cz0tuDiY8C3ctxq1tqvaCgkFb8cCA/edit?usp=sharing"",""มุกดาหาร!I420"")"),0)</f>
        <v>0</v>
      </c>
      <c r="J525" s="284">
        <f ca="1">IFERROR(__xludf.DUMMYFUNCTION("IMPORTRANGE(""https://docs.google.com/spreadsheets/d/1XL5vhW3sbDhbH9Cz0tuDiY8C3ctxq1tqvaCgkFb8cCA/edit?usp=sharing"",""มุกดาหาร!J420"")"),0)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IFERROR(__xludf.DUMMYFUNCTION("IMPORTRANGE(""https://docs.google.com/spreadsheets/d/1XL5vhW3sbDhbH9Cz0tuDiY8C3ctxq1tqvaCgkFb8cCA/edit?usp=sharing"",""มุกดาหาร!I421"")"),0)</f>
        <v>0</v>
      </c>
      <c r="J526" s="284">
        <f ca="1">IFERROR(__xludf.DUMMYFUNCTION("IMPORTRANGE(""https://docs.google.com/spreadsheets/d/1XL5vhW3sbDhbH9Cz0tuDiY8C3ctxq1tqvaCgkFb8cCA/edit?usp=sharing"",""มุกดาหาร!J421"")"),0)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IFERROR(__xludf.DUMMYFUNCTION("IMPORTRANGE(""https://docs.google.com/spreadsheets/d/1XL5vhW3sbDhbH9Cz0tuDiY8C3ctxq1tqvaCgkFb8cCA/edit?usp=sharing"",""มุกดาหาร!I422"")"),0)</f>
        <v>0</v>
      </c>
      <c r="J527" s="199">
        <f ca="1">IFERROR(__xludf.DUMMYFUNCTION("IMPORTRANGE(""https://docs.google.com/spreadsheets/d/1XL5vhW3sbDhbH9Cz0tuDiY8C3ctxq1tqvaCgkFb8cCA/edit?usp=sharing"",""มุกดาหาร!J422"")"),0)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IFERROR(__xludf.DUMMYFUNCTION("IMPORTRANGE(""https://docs.google.com/spreadsheets/d/1XL5vhW3sbDhbH9Cz0tuDiY8C3ctxq1tqvaCgkFb8cCA/edit?usp=sharing"",""มุกดาหาร!I423"")"),0)</f>
        <v>0</v>
      </c>
      <c r="J528" s="199">
        <f ca="1">IFERROR(__xludf.DUMMYFUNCTION("IMPORTRANGE(""https://docs.google.com/spreadsheets/d/1XL5vhW3sbDhbH9Cz0tuDiY8C3ctxq1tqvaCgkFb8cCA/edit?usp=sharing"",""มุกดาหาร!J423"")"),0)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IFERROR(__xludf.DUMMYFUNCTION("IMPORTRANGE(""https://docs.google.com/spreadsheets/d/1XL5vhW3sbDhbH9Cz0tuDiY8C3ctxq1tqvaCgkFb8cCA/edit?usp=sharing"",""มุกดาหาร!I424"")"),0)</f>
        <v>0</v>
      </c>
      <c r="J529" s="199">
        <f ca="1">IFERROR(__xludf.DUMMYFUNCTION("IMPORTRANGE(""https://docs.google.com/spreadsheets/d/1XL5vhW3sbDhbH9Cz0tuDiY8C3ctxq1tqvaCgkFb8cCA/edit?usp=sharing"",""มุกดาหาร!J424"")"),0)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IFERROR(__xludf.DUMMYFUNCTION("IMPORTRANGE(""https://docs.google.com/spreadsheets/d/1XL5vhW3sbDhbH9Cz0tuDiY8C3ctxq1tqvaCgkFb8cCA/edit?usp=sharing"",""มุกดาหาร!I425"")"),0)</f>
        <v>0</v>
      </c>
      <c r="J530" s="199">
        <f ca="1">IFERROR(__xludf.DUMMYFUNCTION("IMPORTRANGE(""https://docs.google.com/spreadsheets/d/1XL5vhW3sbDhbH9Cz0tuDiY8C3ctxq1tqvaCgkFb8cCA/edit?usp=sharing"",""มุกดาหาร!J425"")"),0)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IFERROR(__xludf.DUMMYFUNCTION("IMPORTRANGE(""https://docs.google.com/spreadsheets/d/1XL5vhW3sbDhbH9Cz0tuDiY8C3ctxq1tqvaCgkFb8cCA/edit?usp=sharing"",""มุกดาหาร!I426"")"),0)</f>
        <v>0</v>
      </c>
      <c r="J531" s="199">
        <f ca="1">IFERROR(__xludf.DUMMYFUNCTION("IMPORTRANGE(""https://docs.google.com/spreadsheets/d/1XL5vhW3sbDhbH9Cz0tuDiY8C3ctxq1tqvaCgkFb8cCA/edit?usp=sharing"",""มุกดาหาร!J426"")"),0)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IFERROR(__xludf.DUMMYFUNCTION("IMPORTRANGE(""https://docs.google.com/spreadsheets/d/1XL5vhW3sbDhbH9Cz0tuDiY8C3ctxq1tqvaCgkFb8cCA/edit?usp=sharing"",""มุกดาหาร!L429"")"),0)</f>
        <v>0</v>
      </c>
      <c r="M534" s="166"/>
      <c r="N534" s="170">
        <f ca="1">IFERROR(__xludf.DUMMYFUNCTION("IMPORTRANGE(""https://docs.google.com/spreadsheets/d/1XL5vhW3sbDhbH9Cz0tuDiY8C3ctxq1tqvaCgkFb8cCA/edit?usp=sharing"",""มุกดาหาร!M429"")"),0)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IFERROR(__xludf.DUMMYFUNCTION("IMPORTRANGE(""https://docs.google.com/spreadsheets/d/1XL5vhW3sbDhbH9Cz0tuDiY8C3ctxq1tqvaCgkFb8cCA/edit?usp=sharing"",""มุกดาหาร!L430"")"),34340)</f>
        <v>34340</v>
      </c>
      <c r="M535" s="167"/>
      <c r="N535" s="170">
        <f ca="1">IFERROR(__xludf.DUMMYFUNCTION("IMPORTRANGE(""https://docs.google.com/spreadsheets/d/1XL5vhW3sbDhbH9Cz0tuDiY8C3ctxq1tqvaCgkFb8cCA/edit?usp=sharing"",""มุกดาหาร!M430"")"),34340)</f>
        <v>34340</v>
      </c>
      <c r="O535" s="170">
        <f t="shared" ca="1" si="118"/>
        <v>100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IFERROR(__xludf.DUMMYFUNCTION("IMPORTRANGE(""https://docs.google.com/spreadsheets/d/1XL5vhW3sbDhbH9Cz0tuDiY8C3ctxq1tqvaCgkFb8cCA/edit?usp=sharing"",""มุกดาหาร!L431"")"),0)</f>
        <v>0</v>
      </c>
      <c r="M536" s="170"/>
      <c r="N536" s="170">
        <f ca="1">IFERROR(__xludf.DUMMYFUNCTION("IMPORTRANGE(""https://docs.google.com/spreadsheets/d/1XL5vhW3sbDhbH9Cz0tuDiY8C3ctxq1tqvaCgkFb8cCA/edit?usp=sharing"",""มุกดาหาร!M431"")"),0)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IFERROR(__xludf.DUMMYFUNCTION("IMPORTRANGE(""https://docs.google.com/spreadsheets/d/1XL5vhW3sbDhbH9Cz0tuDiY8C3ctxq1tqvaCgkFb8cCA/edit?usp=sharing"",""มุกดาหาร!L432"")"),34340)</f>
        <v>34340</v>
      </c>
      <c r="M537" s="170"/>
      <c r="N537" s="170">
        <f ca="1">IFERROR(__xludf.DUMMYFUNCTION("IMPORTRANGE(""https://docs.google.com/spreadsheets/d/1XL5vhW3sbDhbH9Cz0tuDiY8C3ctxq1tqvaCgkFb8cCA/edit?usp=sharing"",""มุกดาหาร!M432"")"),34340)</f>
        <v>34340</v>
      </c>
      <c r="O537" s="170">
        <f t="shared" ca="1" si="118"/>
        <v>100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IFERROR(__xludf.DUMMYFUNCTION("IMPORTRANGE(""https://docs.google.com/spreadsheets/d/1XL5vhW3sbDhbH9Cz0tuDiY8C3ctxq1tqvaCgkFb8cCA/edit?usp=sharing"",""มุกดาหาร!J438"")"),0)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IFERROR(__xludf.DUMMYFUNCTION("IMPORTRANGE(""https://docs.google.com/spreadsheets/d/1XL5vhW3sbDhbH9Cz0tuDiY8C3ctxq1tqvaCgkFb8cCA/edit?usp=sharing"",""มุกดาหาร!J439"")"),0)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IFERROR(__xludf.DUMMYFUNCTION("IMPORTRANGE(""https://docs.google.com/spreadsheets/d/1XL5vhW3sbDhbH9Cz0tuDiY8C3ctxq1tqvaCgkFb8cCA/edit?usp=sharing"",""มุกดาหาร!J440"")"),0)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IFERROR(__xludf.DUMMYFUNCTION("IMPORTRANGE(""https://docs.google.com/spreadsheets/d/1XL5vhW3sbDhbH9Cz0tuDiY8C3ctxq1tqvaCgkFb8cCA/edit?usp=sharing"",""มุกดาหาร!J441"")"),0)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IFERROR(__xludf.DUMMYFUNCTION("IMPORTRANGE(""https://docs.google.com/spreadsheets/d/1XL5vhW3sbDhbH9Cz0tuDiY8C3ctxq1tqvaCgkFb8cCA/edit?usp=sharing"",""มุกดาหาร!I442"")"),22)</f>
        <v>22</v>
      </c>
      <c r="J547" s="190">
        <f ca="1">IFERROR(__xludf.DUMMYFUNCTION("IMPORTRANGE(""https://docs.google.com/spreadsheets/d/1XL5vhW3sbDhbH9Cz0tuDiY8C3ctxq1tqvaCgkFb8cCA/edit?usp=sharing"",""มุกดาหาร!J442"")"),22)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IFERROR(__xludf.DUMMYFUNCTION("IMPORTRANGE(""https://docs.google.com/spreadsheets/d/1XL5vhW3sbDhbH9Cz0tuDiY8C3ctxq1tqvaCgkFb8cCA/edit?usp=sharing"",""มุกดาหาร!J166"")"),0)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IFERROR(__xludf.DUMMYFUNCTION("IMPORTRANGE(""https://docs.google.com/spreadsheets/d/1XL5vhW3sbDhbH9Cz0tuDiY8C3ctxq1tqvaCgkFb8cCA/edit?usp=sharing"",""มุกดาหาร!J444"")"),1)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IFERROR(__xludf.DUMMYFUNCTION("IMPORTRANGE(""https://docs.google.com/spreadsheets/d/1XL5vhW3sbDhbH9Cz0tuDiY8C3ctxq1tqvaCgkFb8cCA/edit?usp=sharing"",""มุกดาหาร!L447"")"),0)</f>
        <v>0</v>
      </c>
      <c r="M552" s="166"/>
      <c r="N552" s="170">
        <f ca="1">IFERROR(__xludf.DUMMYFUNCTION("IMPORTRANGE(""https://docs.google.com/spreadsheets/d/1XL5vhW3sbDhbH9Cz0tuDiY8C3ctxq1tqvaCgkFb8cCA/edit?usp=sharing"",""มุกดาหาร!M447"")"),0)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IFERROR(__xludf.DUMMYFUNCTION("IMPORTRANGE(""https://docs.google.com/spreadsheets/d/1XL5vhW3sbDhbH9Cz0tuDiY8C3ctxq1tqvaCgkFb8cCA/edit?usp=sharing"",""มุกดาหาร!L448"")"),0)</f>
        <v>0</v>
      </c>
      <c r="M553" s="167"/>
      <c r="N553" s="170">
        <f ca="1">IFERROR(__xludf.DUMMYFUNCTION("IMPORTRANGE(""https://docs.google.com/spreadsheets/d/1XL5vhW3sbDhbH9Cz0tuDiY8C3ctxq1tqvaCgkFb8cCA/edit?usp=sharing"",""มุกดาหาร!M448"")"),0)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IFERROR(__xludf.DUMMYFUNCTION("IMPORTRANGE(""https://docs.google.com/spreadsheets/d/1XL5vhW3sbDhbH9Cz0tuDiY8C3ctxq1tqvaCgkFb8cCA/edit?usp=sharing"",""มุกดาหาร!L449"")"),0)</f>
        <v>0</v>
      </c>
      <c r="M554" s="170"/>
      <c r="N554" s="170">
        <f ca="1">IFERROR(__xludf.DUMMYFUNCTION("IMPORTRANGE(""https://docs.google.com/spreadsheets/d/1XL5vhW3sbDhbH9Cz0tuDiY8C3ctxq1tqvaCgkFb8cCA/edit?usp=sharing"",""มุกดาหาร!M449"")"),0)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IFERROR(__xludf.DUMMYFUNCTION("IMPORTRANGE(""https://docs.google.com/spreadsheets/d/1XL5vhW3sbDhbH9Cz0tuDiY8C3ctxq1tqvaCgkFb8cCA/edit?usp=sharing"",""มุกดาหาร!L450"")"),0)</f>
        <v>0</v>
      </c>
      <c r="M555" s="170"/>
      <c r="N555" s="170">
        <f ca="1">IFERROR(__xludf.DUMMYFUNCTION("IMPORTRANGE(""https://docs.google.com/spreadsheets/d/1XL5vhW3sbDhbH9Cz0tuDiY8C3ctxq1tqvaCgkFb8cCA/edit?usp=sharing"",""มุกดาหาร!M450"")"),0)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IFERROR(__xludf.DUMMYFUNCTION("IMPORTRANGE(""https://docs.google.com/spreadsheets/d/1XL5vhW3sbDhbH9Cz0tuDiY8C3ctxq1tqvaCgkFb8cCA/edit?usp=sharing"",""มุกดาหาร!M451"")"),0)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IFERROR(__xludf.DUMMYFUNCTION("IMPORTRANGE(""https://docs.google.com/spreadsheets/d/1XL5vhW3sbDhbH9Cz0tuDiY8C3ctxq1tqvaCgkFb8cCA/edit?usp=sharing"",""มุกดาหาร!M452"")"),0)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IFERROR(__xludf.DUMMYFUNCTION("IMPORTRANGE(""https://docs.google.com/spreadsheets/d/1XL5vhW3sbDhbH9Cz0tuDiY8C3ctxq1tqvaCgkFb8cCA/edit?usp=sharing"",""มุกดาหาร!M453"")"),0)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IFERROR(__xludf.DUMMYFUNCTION("IMPORTRANGE(""https://docs.google.com/spreadsheets/d/1XL5vhW3sbDhbH9Cz0tuDiY8C3ctxq1tqvaCgkFb8cCA/edit?usp=sharing"",""มุกดาหาร!M454"")"),0)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IFERROR(__xludf.DUMMYFUNCTION("IMPORTRANGE(""https://docs.google.com/spreadsheets/d/1XL5vhW3sbDhbH9Cz0tuDiY8C3ctxq1tqvaCgkFb8cCA/edit?usp=sharing"",""มุกดาหาร!I455"")"),0)</f>
        <v>0</v>
      </c>
      <c r="J560" s="164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IFERROR(__xludf.DUMMYFUNCTION("IMPORTRANGE(""https://docs.google.com/spreadsheets/d/1XL5vhW3sbDhbH9Cz0tuDiY8C3ctxq1tqvaCgkFb8cCA/edit?usp=sharing"",""มุกดาหาร!I456"")"),0)</f>
        <v>0</v>
      </c>
      <c r="J561" s="205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IFERROR(__xludf.DUMMYFUNCTION("IMPORTRANGE(""https://docs.google.com/spreadsheets/d/1XL5vhW3sbDhbH9Cz0tuDiY8C3ctxq1tqvaCgkFb8cCA/edit?usp=sharing"",""มุกดาหาร!I457"")"),0)</f>
        <v>0</v>
      </c>
      <c r="J562" s="205" t="str">
        <f ca="1">IFERROR(__xludf.DUMMYFUNCTION("IMPORTRANGE(""https://docs.google.com/spreadsheets/d/1XL5vhW3sbDhbH9Cz0tuDiY8C3ctxq1tqvaCgkFb8cCA/edit?usp=sharing"",""มุกดาหาร!J457"")"),"")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IFERROR(__xludf.DUMMYFUNCTION("IMPORTRANGE(""https://docs.google.com/spreadsheets/d/1XL5vhW3sbDhbH9Cz0tuDiY8C3ctxq1tqvaCgkFb8cCA/edit?usp=sharing"",""มุกดาหาร!I458"")"),0)</f>
        <v>0</v>
      </c>
      <c r="J563" s="189" t="str">
        <f ca="1">IFERROR(__xludf.DUMMYFUNCTION("IMPORTRANGE(""https://docs.google.com/spreadsheets/d/1XL5vhW3sbDhbH9Cz0tuDiY8C3ctxq1tqvaCgkFb8cCA/edit?usp=sharing"",""มุกดาหาร!J458"")"),"")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IFERROR(__xludf.DUMMYFUNCTION("IMPORTRANGE(""https://docs.google.com/spreadsheets/d/1XL5vhW3sbDhbH9Cz0tuDiY8C3ctxq1tqvaCgkFb8cCA/edit?usp=sharing"",""มุกดาหาร!J459"")"),336)</f>
        <v>336</v>
      </c>
      <c r="K564" s="372">
        <f t="shared" ca="1" si="121"/>
        <v>18.666666666666668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IFERROR(__xludf.DUMMYFUNCTION("IMPORTRANGE(""https://docs.google.com/spreadsheets/d/1XL5vhW3sbDhbH9Cz0tuDiY8C3ctxq1tqvaCgkFb8cCA/edit?usp=sharing"",""มุกดาหาร!M459"")"),59473)</f>
        <v>59473</v>
      </c>
      <c r="O564" s="373">
        <f t="shared" ref="O564:O568" ca="1" si="122">+IF(L564&gt;0,N564*100/L564,0)</f>
        <v>43.57634818288394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IFERROR(__xludf.DUMMYFUNCTION("IMPORTRANGE(""https://docs.google.com/spreadsheets/d/1XL5vhW3sbDhbH9Cz0tuDiY8C3ctxq1tqvaCgkFb8cCA/edit?usp=sharing"",""มุกดาหาร!L460"")"),0)</f>
        <v>0</v>
      </c>
      <c r="M565" s="166"/>
      <c r="N565" s="170">
        <f ca="1">IFERROR(__xludf.DUMMYFUNCTION("IMPORTRANGE(""https://docs.google.com/spreadsheets/d/1XL5vhW3sbDhbH9Cz0tuDiY8C3ctxq1tqvaCgkFb8cCA/edit?usp=sharing"",""มุกดาหาร!M460"")"),0)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IFERROR(__xludf.DUMMYFUNCTION("IMPORTRANGE(""https://docs.google.com/spreadsheets/d/1XL5vhW3sbDhbH9Cz0tuDiY8C3ctxq1tqvaCgkFb8cCA/edit?usp=sharing"",""มุกดาหาร!L461"")"),136480)</f>
        <v>136480</v>
      </c>
      <c r="M566" s="167"/>
      <c r="N566" s="170">
        <f ca="1">IFERROR(__xludf.DUMMYFUNCTION("IMPORTRANGE(""https://docs.google.com/spreadsheets/d/1XL5vhW3sbDhbH9Cz0tuDiY8C3ctxq1tqvaCgkFb8cCA/edit?usp=sharing"",""มุกดาหาร!M461"")"),59473)</f>
        <v>59473</v>
      </c>
      <c r="O566" s="170">
        <f t="shared" ca="1" si="122"/>
        <v>43.57634818288394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IFERROR(__xludf.DUMMYFUNCTION("IMPORTRANGE(""https://docs.google.com/spreadsheets/d/1XL5vhW3sbDhbH9Cz0tuDiY8C3ctxq1tqvaCgkFb8cCA/edit?usp=sharing"",""มุกดาหาร!L462"")"),0)</f>
        <v>0</v>
      </c>
      <c r="M567" s="170"/>
      <c r="N567" s="170">
        <f ca="1">IFERROR(__xludf.DUMMYFUNCTION("IMPORTRANGE(""https://docs.google.com/spreadsheets/d/1XL5vhW3sbDhbH9Cz0tuDiY8C3ctxq1tqvaCgkFb8cCA/edit?usp=sharing"",""มุกดาหาร!M462"")"),0)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IFERROR(__xludf.DUMMYFUNCTION("IMPORTRANGE(""https://docs.google.com/spreadsheets/d/1XL5vhW3sbDhbH9Cz0tuDiY8C3ctxq1tqvaCgkFb8cCA/edit?usp=sharing"",""มุกดาหาร!L463"")"),136480)</f>
        <v>136480</v>
      </c>
      <c r="M568" s="170"/>
      <c r="N568" s="170">
        <f ca="1">IFERROR(__xludf.DUMMYFUNCTION("IMPORTRANGE(""https://docs.google.com/spreadsheets/d/1XL5vhW3sbDhbH9Cz0tuDiY8C3ctxq1tqvaCgkFb8cCA/edit?usp=sharing"",""มุกดาหาร!M463"")"),59473)</f>
        <v>59473</v>
      </c>
      <c r="O568" s="170">
        <f t="shared" ca="1" si="122"/>
        <v>43.57634818288394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IFERROR(__xludf.DUMMYFUNCTION("IMPORTRANGE(""https://docs.google.com/spreadsheets/d/1XL5vhW3sbDhbH9Cz0tuDiY8C3ctxq1tqvaCgkFb8cCA/edit?usp=sharing"",""มุกดาหาร!M464"")"),0)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IFERROR(__xludf.DUMMYFUNCTION("IMPORTRANGE(""https://docs.google.com/spreadsheets/d/1XL5vhW3sbDhbH9Cz0tuDiY8C3ctxq1tqvaCgkFb8cCA/edit?usp=sharing"",""มุกดาหาร!M465"")"),0)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IFERROR(__xludf.DUMMYFUNCTION("IMPORTRANGE(""https://docs.google.com/spreadsheets/d/1XL5vhW3sbDhbH9Cz0tuDiY8C3ctxq1tqvaCgkFb8cCA/edit?usp=sharing"",""มุกดาหาร!M466"")"),49133)</f>
        <v>49133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IFERROR(__xludf.DUMMYFUNCTION("IMPORTRANGE(""https://docs.google.com/spreadsheets/d/1XL5vhW3sbDhbH9Cz0tuDiY8C3ctxq1tqvaCgkFb8cCA/edit?usp=sharing"",""มุกดาหาร!M467"")"),10340)</f>
        <v>10340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IFERROR(__xludf.DUMMYFUNCTION("IMPORTRANGE(""https://docs.google.com/spreadsheets/d/1XL5vhW3sbDhbH9Cz0tuDiY8C3ctxq1tqvaCgkFb8cCA/edit?usp=sharing"",""มุกดาหาร!J468"")"),336)</f>
        <v>336</v>
      </c>
      <c r="K573" s="203">
        <f ca="1">IF(I573&gt;0,J573*100/I573,0)</f>
        <v>18.666666666666668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IFERROR(__xludf.DUMMYFUNCTION("IMPORTRANGE(""https://docs.google.com/spreadsheets/d/1XL5vhW3sbDhbH9Cz0tuDiY8C3ctxq1tqvaCgkFb8cCA/edit?usp=sharing"",""มุกดาหาร!I470"")"),0)</f>
        <v>0</v>
      </c>
      <c r="J575" s="199">
        <f ca="1">IFERROR(__xludf.DUMMYFUNCTION("IMPORTRANGE(""https://docs.google.com/spreadsheets/d/1XL5vhW3sbDhbH9Cz0tuDiY8C3ctxq1tqvaCgkFb8cCA/edit?usp=sharing"",""มุกดาหาร!J470"")"),0)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IFERROR(__xludf.DUMMYFUNCTION("IMPORTRANGE(""https://docs.google.com/spreadsheets/d/1XL5vhW3sbDhbH9Cz0tuDiY8C3ctxq1tqvaCgkFb8cCA/edit?usp=sharing"",""มุกดาหาร!I471"")"),0)</f>
        <v>0</v>
      </c>
      <c r="J576" s="199">
        <f ca="1">IFERROR(__xludf.DUMMYFUNCTION("IMPORTRANGE(""https://docs.google.com/spreadsheets/d/1XL5vhW3sbDhbH9Cz0tuDiY8C3ctxq1tqvaCgkFb8cCA/edit?usp=sharing"",""มุกดาหาร!J471"")"),0)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IFERROR(__xludf.DUMMYFUNCTION("IMPORTRANGE(""https://docs.google.com/spreadsheets/d/1XL5vhW3sbDhbH9Cz0tuDiY8C3ctxq1tqvaCgkFb8cCA/edit?usp=sharing"",""มุกดาหาร!I472"")"),0)</f>
        <v>0</v>
      </c>
      <c r="J577" s="190">
        <f ca="1">IFERROR(__xludf.DUMMYFUNCTION("IMPORTRANGE(""https://docs.google.com/spreadsheets/d/1XL5vhW3sbDhbH9Cz0tuDiY8C3ctxq1tqvaCgkFb8cCA/edit?usp=sharing"",""มุกดาหาร!J472"")"),336)</f>
        <v>336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IFERROR(__xludf.DUMMYFUNCTION("IMPORTRANGE(""https://docs.google.com/spreadsheets/d/1XL5vhW3sbDhbH9Cz0tuDiY8C3ctxq1tqvaCgkFb8cCA/edit?usp=sharing"",""มุกดาหาร!I473"")"),0)</f>
        <v>0</v>
      </c>
      <c r="J578" s="199">
        <f ca="1">IFERROR(__xludf.DUMMYFUNCTION("IMPORTRANGE(""https://docs.google.com/spreadsheets/d/1XL5vhW3sbDhbH9Cz0tuDiY8C3ctxq1tqvaCgkFb8cCA/edit?usp=sharing"",""มุกดาหาร!J473"")"),0)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IFERROR(__xludf.DUMMYFUNCTION("IMPORTRANGE(""https://docs.google.com/spreadsheets/d/1XL5vhW3sbDhbH9Cz0tuDiY8C3ctxq1tqvaCgkFb8cCA/edit?usp=sharing"",""มุกดาหาร!I474"")"),0)</f>
        <v>0</v>
      </c>
      <c r="J579" s="199">
        <f ca="1">IFERROR(__xludf.DUMMYFUNCTION("IMPORTRANGE(""https://docs.google.com/spreadsheets/d/1XL5vhW3sbDhbH9Cz0tuDiY8C3ctxq1tqvaCgkFb8cCA/edit?usp=sharing"",""มุกดาหาร!J474"")"),0)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IFERROR(__xludf.DUMMYFUNCTION("IMPORTRANGE(""https://docs.google.com/spreadsheets/d/1XL5vhW3sbDhbH9Cz0tuDiY8C3ctxq1tqvaCgkFb8cCA/edit?usp=sharing"",""มุกดาหาร!M475"")"),49631)</f>
        <v>49631</v>
      </c>
      <c r="O580" s="373">
        <f t="shared" ref="O580:O584" ca="1" si="124">+IF(L580&gt;0,N580*100/L580,0)</f>
        <v>36.916840226123178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IFERROR(__xludf.DUMMYFUNCTION("IMPORTRANGE(""https://docs.google.com/spreadsheets/d/1XL5vhW3sbDhbH9Cz0tuDiY8C3ctxq1tqvaCgkFb8cCA/edit?usp=sharing"",""มุกดาหาร!L476"")"),0)</f>
        <v>0</v>
      </c>
      <c r="M581" s="166"/>
      <c r="N581" s="170">
        <f ca="1">IFERROR(__xludf.DUMMYFUNCTION("IMPORTRANGE(""https://docs.google.com/spreadsheets/d/1XL5vhW3sbDhbH9Cz0tuDiY8C3ctxq1tqvaCgkFb8cCA/edit?usp=sharing"",""มุกดาหาร!M476"")"),0)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IFERROR(__xludf.DUMMYFUNCTION("IMPORTRANGE(""https://docs.google.com/spreadsheets/d/1XL5vhW3sbDhbH9Cz0tuDiY8C3ctxq1tqvaCgkFb8cCA/edit?usp=sharing"",""มุกดาหาร!L477"")"),134440)</f>
        <v>134440</v>
      </c>
      <c r="M582" s="167"/>
      <c r="N582" s="170">
        <f ca="1">IFERROR(__xludf.DUMMYFUNCTION("IMPORTRANGE(""https://docs.google.com/spreadsheets/d/1XL5vhW3sbDhbH9Cz0tuDiY8C3ctxq1tqvaCgkFb8cCA/edit?usp=sharing"",""มุกดาหาร!M477"")"),49631)</f>
        <v>49631</v>
      </c>
      <c r="O582" s="170">
        <f t="shared" ca="1" si="124"/>
        <v>36.916840226123178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IFERROR(__xludf.DUMMYFUNCTION("IMPORTRANGE(""https://docs.google.com/spreadsheets/d/1XL5vhW3sbDhbH9Cz0tuDiY8C3ctxq1tqvaCgkFb8cCA/edit?usp=sharing"",""มุกดาหาร!L478"")"),0)</f>
        <v>0</v>
      </c>
      <c r="M583" s="170"/>
      <c r="N583" s="170">
        <f ca="1">IFERROR(__xludf.DUMMYFUNCTION("IMPORTRANGE(""https://docs.google.com/spreadsheets/d/1XL5vhW3sbDhbH9Cz0tuDiY8C3ctxq1tqvaCgkFb8cCA/edit?usp=sharing"",""มุกดาหาร!M478"")"),0)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IFERROR(__xludf.DUMMYFUNCTION("IMPORTRANGE(""https://docs.google.com/spreadsheets/d/1XL5vhW3sbDhbH9Cz0tuDiY8C3ctxq1tqvaCgkFb8cCA/edit?usp=sharing"",""มุกดาหาร!L479"")"),134440)</f>
        <v>134440</v>
      </c>
      <c r="M584" s="170"/>
      <c r="N584" s="170">
        <f ca="1">IFERROR(__xludf.DUMMYFUNCTION("IMPORTRANGE(""https://docs.google.com/spreadsheets/d/1XL5vhW3sbDhbH9Cz0tuDiY8C3ctxq1tqvaCgkFb8cCA/edit?usp=sharing"",""มุกดาหาร!M479"")"),49631)</f>
        <v>49631</v>
      </c>
      <c r="O584" s="170">
        <f t="shared" ca="1" si="124"/>
        <v>36.916840226123178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IFERROR(__xludf.DUMMYFUNCTION("IMPORTRANGE(""https://docs.google.com/spreadsheets/d/1XL5vhW3sbDhbH9Cz0tuDiY8C3ctxq1tqvaCgkFb8cCA/edit?usp=sharing"",""มุกดาหาร!M480"")"),0)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IFERROR(__xludf.DUMMYFUNCTION("IMPORTRANGE(""https://docs.google.com/spreadsheets/d/1XL5vhW3sbDhbH9Cz0tuDiY8C3ctxq1tqvaCgkFb8cCA/edit?usp=sharing"",""มุกดาหาร!M481"")"),0)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IFERROR(__xludf.DUMMYFUNCTION("IMPORTRANGE(""https://docs.google.com/spreadsheets/d/1XL5vhW3sbDhbH9Cz0tuDiY8C3ctxq1tqvaCgkFb8cCA/edit?usp=sharing"",""มุกดาหาร!M482"")"),0)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IFERROR(__xludf.DUMMYFUNCTION("IMPORTRANGE(""https://docs.google.com/spreadsheets/d/1XL5vhW3sbDhbH9Cz0tuDiY8C3ctxq1tqvaCgkFb8cCA/edit?usp=sharing"",""มุกดาหาร!M483"")"),49631)</f>
        <v>49631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IFERROR(__xludf.DUMMYFUNCTION("IMPORTRANGE(""https://docs.google.com/spreadsheets/d/1XL5vhW3sbDhbH9Cz0tuDiY8C3ctxq1tqvaCgkFb8cCA/edit?usp=sharing"",""มุกดาหาร!I484"")"),40)</f>
        <v>40</v>
      </c>
      <c r="J589" s="189">
        <f ca="1">IFERROR(__xludf.DUMMYFUNCTION("IMPORTRANGE(""https://docs.google.com/spreadsheets/d/1XL5vhW3sbDhbH9Cz0tuDiY8C3ctxq1tqvaCgkFb8cCA/edit?usp=sharing"",""มุกดาหาร!J484"")"),37)</f>
        <v>37</v>
      </c>
      <c r="K589" s="165">
        <f t="shared" ref="K589:K596" ca="1" si="125">IF(I589&gt;0,J589*100/I589,0)</f>
        <v>92.5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9">
        <f ca="1">IFERROR(__xludf.DUMMYFUNCTION("IMPORTRANGE(""https://docs.google.com/spreadsheets/d/1XL5vhW3sbDhbH9Cz0tuDiY8C3ctxq1tqvaCgkFb8cCA/edit?usp=sharing"",""มุกดาหาร!J485"")"),28.82)</f>
        <v>28.82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IFERROR(__xludf.DUMMYFUNCTION("IMPORTRANGE(""https://docs.google.com/spreadsheets/d/1XL5vhW3sbDhbH9Cz0tuDiY8C3ctxq1tqvaCgkFb8cCA/edit?usp=sharing"",""มุกดาหาร!I486"")"),40)</f>
        <v>40</v>
      </c>
      <c r="J591" s="189">
        <f ca="1">IFERROR(__xludf.DUMMYFUNCTION("IMPORTRANGE(""https://docs.google.com/spreadsheets/d/1XL5vhW3sbDhbH9Cz0tuDiY8C3ctxq1tqvaCgkFb8cCA/edit?usp=sharing"",""มุกดาหาร!J486"")"),41)</f>
        <v>41</v>
      </c>
      <c r="K591" s="165">
        <f t="shared" ca="1" si="125"/>
        <v>102.5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9">
        <f ca="1">IFERROR(__xludf.DUMMYFUNCTION("IMPORTRANGE(""https://docs.google.com/spreadsheets/d/1XL5vhW3sbDhbH9Cz0tuDiY8C3ctxq1tqvaCgkFb8cCA/edit?usp=sharing"",""มุกดาหาร!J487"")"),33.12)</f>
        <v>33.119999999999997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IFERROR(__xludf.DUMMYFUNCTION("IMPORTRANGE(""https://docs.google.com/spreadsheets/d/1XL5vhW3sbDhbH9Cz0tuDiY8C3ctxq1tqvaCgkFb8cCA/edit?usp=sharing"",""มุกดาหาร!I488"")"),40)</f>
        <v>40</v>
      </c>
      <c r="J593" s="189">
        <f ca="1">IFERROR(__xludf.DUMMYFUNCTION("IMPORTRANGE(""https://docs.google.com/spreadsheets/d/1XL5vhW3sbDhbH9Cz0tuDiY8C3ctxq1tqvaCgkFb8cCA/edit?usp=sharing"",""มุกดาหาร!J488"")"),16)</f>
        <v>16</v>
      </c>
      <c r="K593" s="165">
        <f t="shared" ca="1" si="125"/>
        <v>40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9">
        <f ca="1">IFERROR(__xludf.DUMMYFUNCTION("IMPORTRANGE(""https://docs.google.com/spreadsheets/d/1XL5vhW3sbDhbH9Cz0tuDiY8C3ctxq1tqvaCgkFb8cCA/edit?usp=sharing"",""มุกดาหาร!J489"")"),9.4)</f>
        <v>9.4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IFERROR(__xludf.DUMMYFUNCTION("IMPORTRANGE(""https://docs.google.com/spreadsheets/d/1XL5vhW3sbDhbH9Cz0tuDiY8C3ctxq1tqvaCgkFb8cCA/edit?usp=sharing"",""มุกดาหาร!I490"")"),40)</f>
        <v>40</v>
      </c>
      <c r="J595" s="189">
        <f ca="1">IFERROR(__xludf.DUMMYFUNCTION("IMPORTRANGE(""https://docs.google.com/spreadsheets/d/1XL5vhW3sbDhbH9Cz0tuDiY8C3ctxq1tqvaCgkFb8cCA/edit?usp=sharing"",""มุกดาหาร!J490"")"),0)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7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IFERROR(__xludf.DUMMYFUNCTION("IMPORTRANGE(""https://docs.google.com/spreadsheets/d/1XL5vhW3sbDhbH9Cz0tuDiY8C3ctxq1tqvaCgkFb8cCA/edit?usp=sharing"",""มุกดาหาร!L493"")"),0)</f>
        <v>0</v>
      </c>
      <c r="M598" s="166"/>
      <c r="N598" s="170">
        <f ca="1">IFERROR(__xludf.DUMMYFUNCTION("IMPORTRANGE(""https://docs.google.com/spreadsheets/d/1XL5vhW3sbDhbH9Cz0tuDiY8C3ctxq1tqvaCgkFb8cCA/edit?usp=sharing"",""มุกดาหาร!M493"")"),0)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IFERROR(__xludf.DUMMYFUNCTION("IMPORTRANGE(""https://docs.google.com/spreadsheets/d/1XL5vhW3sbDhbH9Cz0tuDiY8C3ctxq1tqvaCgkFb8cCA/edit?usp=sharing"",""มุกดาหาร!L494"")"),8100)</f>
        <v>8100</v>
      </c>
      <c r="M599" s="167"/>
      <c r="N599" s="170">
        <f ca="1">IFERROR(__xludf.DUMMYFUNCTION("IMPORTRANGE(""https://docs.google.com/spreadsheets/d/1XL5vhW3sbDhbH9Cz0tuDiY8C3ctxq1tqvaCgkFb8cCA/edit?usp=sharing"",""มุกดาหาร!M494"")"),800)</f>
        <v>800</v>
      </c>
      <c r="O599" s="170">
        <f t="shared" ca="1" si="126"/>
        <v>9.8765432098765427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IFERROR(__xludf.DUMMYFUNCTION("IMPORTRANGE(""https://docs.google.com/spreadsheets/d/1XL5vhW3sbDhbH9Cz0tuDiY8C3ctxq1tqvaCgkFb8cCA/edit?usp=sharing"",""มุกดาหาร!L495"")"),0)</f>
        <v>0</v>
      </c>
      <c r="M600" s="170"/>
      <c r="N600" s="170">
        <f ca="1">IFERROR(__xludf.DUMMYFUNCTION("IMPORTRANGE(""https://docs.google.com/spreadsheets/d/1XL5vhW3sbDhbH9Cz0tuDiY8C3ctxq1tqvaCgkFb8cCA/edit?usp=sharing"",""มุกดาหาร!M495"")"),0)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IFERROR(__xludf.DUMMYFUNCTION("IMPORTRANGE(""https://docs.google.com/spreadsheets/d/1XL5vhW3sbDhbH9Cz0tuDiY8C3ctxq1tqvaCgkFb8cCA/edit?usp=sharing"",""มุกดาหาร!L496"")"),8100)</f>
        <v>8100</v>
      </c>
      <c r="M601" s="170"/>
      <c r="N601" s="170">
        <f ca="1">IFERROR(__xludf.DUMMYFUNCTION("IMPORTRANGE(""https://docs.google.com/spreadsheets/d/1XL5vhW3sbDhbH9Cz0tuDiY8C3ctxq1tqvaCgkFb8cCA/edit?usp=sharing"",""มุกดาหาร!M496"")"),800)</f>
        <v>800</v>
      </c>
      <c r="O601" s="170">
        <f t="shared" ca="1" si="126"/>
        <v>9.8765432098765427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IFERROR(__xludf.DUMMYFUNCTION("IMPORTRANGE(""https://docs.google.com/spreadsheets/d/1XL5vhW3sbDhbH9Cz0tuDiY8C3ctxq1tqvaCgkFb8cCA/edit?usp=sharing"",""มุกดาหาร!M497"")"),0)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IFERROR(__xludf.DUMMYFUNCTION("IMPORTRANGE(""https://docs.google.com/spreadsheets/d/1XL5vhW3sbDhbH9Cz0tuDiY8C3ctxq1tqvaCgkFb8cCA/edit?usp=sharing"",""มุกดาหาร!M498"")"),0)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IFERROR(__xludf.DUMMYFUNCTION("IMPORTRANGE(""https://docs.google.com/spreadsheets/d/1XL5vhW3sbDhbH9Cz0tuDiY8C3ctxq1tqvaCgkFb8cCA/edit?usp=sharing"",""มุกดาหาร!J502"")"),0)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IFERROR(__xludf.DUMMYFUNCTION("IMPORTRANGE(""https://docs.google.com/spreadsheets/d/1XL5vhW3sbDhbH9Cz0tuDiY8C3ctxq1tqvaCgkFb8cCA/edit?usp=sharing"",""มุกดาหาร!J503"")"),1)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IFERROR(__xludf.DUMMYFUNCTION("IMPORTRANGE(""https://docs.google.com/spreadsheets/d/1XL5vhW3sbDhbH9Cz0tuDiY8C3ctxq1tqvaCgkFb8cCA/edit?usp=sharing"",""มุกดาหาร!J166"")"),0)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IFERROR(__xludf.DUMMYFUNCTION("IMPORTRANGE(""https://docs.google.com/spreadsheets/d/1XL5vhW3sbDhbH9Cz0tuDiY8C3ctxq1tqvaCgkFb8cCA/edit?usp=sharing"",""มุกดาหาร!J166"")"),0)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IFERROR(__xludf.DUMMYFUNCTION("IMPORTRANGE(""https://docs.google.com/spreadsheets/d/1XL5vhW3sbDhbH9Cz0tuDiY8C3ctxq1tqvaCgkFb8cCA/edit?usp=sharing"",""มุกดาหาร!I506"")"),100)</f>
        <v>100</v>
      </c>
      <c r="J611" s="164">
        <f ca="1">IFERROR(__xludf.DUMMYFUNCTION("IMPORTRANGE(""https://docs.google.com/spreadsheets/d/1XL5vhW3sbDhbH9Cz0tuDiY8C3ctxq1tqvaCgkFb8cCA/edit?usp=sharing"",""มุกดาหาร!J506"")"),0)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IFERROR(__xludf.DUMMYFUNCTION("IMPORTRANGE(""https://docs.google.com/spreadsheets/d/1XL5vhW3sbDhbH9Cz0tuDiY8C3ctxq1tqvaCgkFb8cCA/edit?usp=sharing"",""มุกดาหาร!I507"")"),0)</f>
        <v>0</v>
      </c>
      <c r="J612" s="199">
        <f ca="1">IFERROR(__xludf.DUMMYFUNCTION("IMPORTRANGE(""https://docs.google.com/spreadsheets/d/1XL5vhW3sbDhbH9Cz0tuDiY8C3ctxq1tqvaCgkFb8cCA/edit?usp=sharing"",""มุกดาหาร!J507"")"),0)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IFERROR(__xludf.DUMMYFUNCTION("IMPORTRANGE(""https://docs.google.com/spreadsheets/d/1XL5vhW3sbDhbH9Cz0tuDiY8C3ctxq1tqvaCgkFb8cCA/edit?usp=sharing"",""มุกดาหาร!I508"")"),0)</f>
        <v>0</v>
      </c>
      <c r="J613" s="199">
        <f ca="1">IFERROR(__xludf.DUMMYFUNCTION("IMPORTRANGE(""https://docs.google.com/spreadsheets/d/1XL5vhW3sbDhbH9Cz0tuDiY8C3ctxq1tqvaCgkFb8cCA/edit?usp=sharing"",""มุกดาหาร!J508"")"),0)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IFERROR(__xludf.DUMMYFUNCTION("IMPORTRANGE(""https://docs.google.com/spreadsheets/d/1XL5vhW3sbDhbH9Cz0tuDiY8C3ctxq1tqvaCgkFb8cCA/edit?usp=sharing"",""มุกดาหาร!I509"")"),0)</f>
        <v>0</v>
      </c>
      <c r="J614" s="199">
        <f ca="1">IFERROR(__xludf.DUMMYFUNCTION("IMPORTRANGE(""https://docs.google.com/spreadsheets/d/1XL5vhW3sbDhbH9Cz0tuDiY8C3ctxq1tqvaCgkFb8cCA/edit?usp=sharing"",""มุกดาหาร!J509"")"),0)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IFERROR(__xludf.DUMMYFUNCTION("IMPORTRANGE(""https://docs.google.com/spreadsheets/d/1XL5vhW3sbDhbH9Cz0tuDiY8C3ctxq1tqvaCgkFb8cCA/edit?usp=sharing"",""มุกดาหาร!I510"")"),0)</f>
        <v>0</v>
      </c>
      <c r="J615" s="199">
        <f ca="1">IFERROR(__xludf.DUMMYFUNCTION("IMPORTRANGE(""https://docs.google.com/spreadsheets/d/1XL5vhW3sbDhbH9Cz0tuDiY8C3ctxq1tqvaCgkFb8cCA/edit?usp=sharing"",""มุกดาหาร!J510"")"),0)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IFERROR(__xludf.DUMMYFUNCTION("IMPORTRANGE(""https://docs.google.com/spreadsheets/d/1XL5vhW3sbDhbH9Cz0tuDiY8C3ctxq1tqvaCgkFb8cCA/edit?usp=sharing"",""มุกดาหาร!I511"")"),0)</f>
        <v>0</v>
      </c>
      <c r="J616" s="199">
        <f ca="1">IFERROR(__xludf.DUMMYFUNCTION("IMPORTRANGE(""https://docs.google.com/spreadsheets/d/1XL5vhW3sbDhbH9Cz0tuDiY8C3ctxq1tqvaCgkFb8cCA/edit?usp=sharing"",""มุกดาหาร!J511"")"),0)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IFERROR(__xludf.DUMMYFUNCTION("IMPORTRANGE(""https://docs.google.com/spreadsheets/d/1XL5vhW3sbDhbH9Cz0tuDiY8C3ctxq1tqvaCgkFb8cCA/edit?usp=sharing"",""มุกดาหาร!I512"")"),0)</f>
        <v>0</v>
      </c>
      <c r="J617" s="189">
        <f ca="1">IFERROR(__xludf.DUMMYFUNCTION("IMPORTRANGE(""https://docs.google.com/spreadsheets/d/1XL5vhW3sbDhbH9Cz0tuDiY8C3ctxq1tqvaCgkFb8cCA/edit?usp=sharing"",""มุกดาหาร!J512"")"),0)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IFERROR(__xludf.DUMMYFUNCTION("IMPORTRANGE(""https://docs.google.com/spreadsheets/d/1XL5vhW3sbDhbH9Cz0tuDiY8C3ctxq1tqvaCgkFb8cCA/edit?usp=sharing"",""มุกดาหาร!I513"")"),0)</f>
        <v>0</v>
      </c>
      <c r="J618" s="190">
        <f ca="1">IFERROR(__xludf.DUMMYFUNCTION("IMPORTRANGE(""https://docs.google.com/spreadsheets/d/1XL5vhW3sbDhbH9Cz0tuDiY8C3ctxq1tqvaCgkFb8cCA/edit?usp=sharing"",""มุกดาหาร!J513"")"),0)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IFERROR(__xludf.DUMMYFUNCTION("IMPORTRANGE(""https://docs.google.com/spreadsheets/d/1XL5vhW3sbDhbH9Cz0tuDiY8C3ctxq1tqvaCgkFb8cCA/edit?usp=sharing"",""มุกดาหาร!I514"")"),0)</f>
        <v>0</v>
      </c>
      <c r="J619" s="190">
        <f ca="1">IFERROR(__xludf.DUMMYFUNCTION("IMPORTRANGE(""https://docs.google.com/spreadsheets/d/1XL5vhW3sbDhbH9Cz0tuDiY8C3ctxq1tqvaCgkFb8cCA/edit?usp=sharing"",""มุกดาหาร!J514"")"),0)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IFERROR(__xludf.DUMMYFUNCTION("IMPORTRANGE(""https://docs.google.com/spreadsheets/d/1XL5vhW3sbDhbH9Cz0tuDiY8C3ctxq1tqvaCgkFb8cCA/edit?usp=sharing"",""มุกดาหาร!I515"")"),0)</f>
        <v>0</v>
      </c>
      <c r="J620" s="204">
        <f ca="1">IFERROR(__xludf.DUMMYFUNCTION("IMPORTRANGE(""https://docs.google.com/spreadsheets/d/1XL5vhW3sbDhbH9Cz0tuDiY8C3ctxq1tqvaCgkFb8cCA/edit?usp=sharing"",""มุกดาหาร!J515"")"),0)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IFERROR(__xludf.DUMMYFUNCTION("IMPORTRANGE(""https://docs.google.com/spreadsheets/d/1XL5vhW3sbDhbH9Cz0tuDiY8C3ctxq1tqvaCgkFb8cCA/edit?usp=sharing"",""มุกดาหาร!I516"")"),0)</f>
        <v>0</v>
      </c>
      <c r="J621" s="204">
        <f ca="1">IFERROR(__xludf.DUMMYFUNCTION("IMPORTRANGE(""https://docs.google.com/spreadsheets/d/1XL5vhW3sbDhbH9Cz0tuDiY8C3ctxq1tqvaCgkFb8cCA/edit?usp=sharing"",""มุกดาหาร!J516"")"),0)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IFERROR(__xludf.DUMMYFUNCTION("IMPORTRANGE(""https://docs.google.com/spreadsheets/d/1XL5vhW3sbDhbH9Cz0tuDiY8C3ctxq1tqvaCgkFb8cCA/edit?usp=sharing"",""มุกดาหาร!I517"")"),0)</f>
        <v>0</v>
      </c>
      <c r="J622" s="190">
        <f ca="1">IFERROR(__xludf.DUMMYFUNCTION("IMPORTRANGE(""https://docs.google.com/spreadsheets/d/1XL5vhW3sbDhbH9Cz0tuDiY8C3ctxq1tqvaCgkFb8cCA/edit?usp=sharing"",""มุกดาหาร!J517"")"),0)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IFERROR(__xludf.DUMMYFUNCTION("IMPORTRANGE(""https://docs.google.com/spreadsheets/d/1XL5vhW3sbDhbH9Cz0tuDiY8C3ctxq1tqvaCgkFb8cCA/edit?usp=sharing"",""มุกดาหาร!I518"")"),0)</f>
        <v>0</v>
      </c>
      <c r="J623" s="190">
        <f ca="1">IFERROR(__xludf.DUMMYFUNCTION("IMPORTRANGE(""https://docs.google.com/spreadsheets/d/1XL5vhW3sbDhbH9Cz0tuDiY8C3ctxq1tqvaCgkFb8cCA/edit?usp=sharing"",""มุกดาหาร!J518"")"),0)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IFERROR(__xludf.DUMMYFUNCTION("IMPORTRANGE(""https://docs.google.com/spreadsheets/d/1XL5vhW3sbDhbH9Cz0tuDiY8C3ctxq1tqvaCgkFb8cCA/edit?usp=sharing"",""มุกดาหาร!I519"")"),0)</f>
        <v>0</v>
      </c>
      <c r="J624" s="189">
        <f ca="1">IFERROR(__xludf.DUMMYFUNCTION("IMPORTRANGE(""https://docs.google.com/spreadsheets/d/1XL5vhW3sbDhbH9Cz0tuDiY8C3ctxq1tqvaCgkFb8cCA/edit?usp=sharing"",""มุกดาหาร!J519"")"),0)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IFERROR(__xludf.DUMMYFUNCTION("IMPORTRANGE(""https://docs.google.com/spreadsheets/d/1XL5vhW3sbDhbH9Cz0tuDiY8C3ctxq1tqvaCgkFb8cCA/edit?usp=sharing"",""มุกดาหาร!I520"")"),0)</f>
        <v>0</v>
      </c>
      <c r="J625" s="190">
        <f ca="1">IFERROR(__xludf.DUMMYFUNCTION("IMPORTRANGE(""https://docs.google.com/spreadsheets/d/1XL5vhW3sbDhbH9Cz0tuDiY8C3ctxq1tqvaCgkFb8cCA/edit?usp=sharing"",""มุกดาหาร!J520"")"),0)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IFERROR(__xludf.DUMMYFUNCTION("IMPORTRANGE(""https://docs.google.com/spreadsheets/d/1XL5vhW3sbDhbH9Cz0tuDiY8C3ctxq1tqvaCgkFb8cCA/edit?usp=sharing"",""มุกดาหาร!I521"")"),0)</f>
        <v>0</v>
      </c>
      <c r="J626" s="190">
        <f ca="1">IFERROR(__xludf.DUMMYFUNCTION("IMPORTRANGE(""https://docs.google.com/spreadsheets/d/1XL5vhW3sbDhbH9Cz0tuDiY8C3ctxq1tqvaCgkFb8cCA/edit?usp=sharing"",""มุกดาหาร!J521"")"),0)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1">
        <f ca="1">IFERROR(__xludf.DUMMYFUNCTION("IMPORTRANGE(""https://docs.google.com/spreadsheets/d/1XL5vhW3sbDhbH9Cz0tuDiY8C3ctxq1tqvaCgkFb8cCA/edit?usp=sharing"",""มุกดาหาร!J523"")"),543780.96)</f>
        <v>543780.96</v>
      </c>
      <c r="K628" s="342">
        <f t="shared" ref="K628:K635" ca="1" si="129">IF(I628&gt;0,J628*100/I628,0)</f>
        <v>10.172756476863336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IFERROR(__xludf.DUMMYFUNCTION("IMPORTRANGE(""https://docs.google.com/spreadsheets/d/1XL5vhW3sbDhbH9Cz0tuDiY8C3ctxq1tqvaCgkFb8cCA/edit?usp=sharing"",""มุกดาหาร!I524"")"),488)</f>
        <v>488</v>
      </c>
      <c r="J629" s="341">
        <f ca="1">IFERROR(__xludf.DUMMYFUNCTION("IMPORTRANGE(""https://docs.google.com/spreadsheets/d/1XL5vhW3sbDhbH9Cz0tuDiY8C3ctxq1tqvaCgkFb8cCA/edit?usp=sharing"",""มุกดาหาร!J524"")"),48)</f>
        <v>48</v>
      </c>
      <c r="K629" s="342">
        <f t="shared" ca="1" si="129"/>
        <v>9.8360655737704921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1">
        <f ca="1">IFERROR(__xludf.DUMMYFUNCTION("IMPORTRANGE(""https://docs.google.com/spreadsheets/d/1XL5vhW3sbDhbH9Cz0tuDiY8C3ctxq1tqvaCgkFb8cCA/edit?usp=sharing"",""มุกดาหาร!J525"")"),98725.78)</f>
        <v>98725.78</v>
      </c>
      <c r="K630" s="342">
        <f t="shared" ca="1" si="129"/>
        <v>2.6957212874973338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IFERROR(__xludf.DUMMYFUNCTION("IMPORTRANGE(""https://docs.google.com/spreadsheets/d/1XL5vhW3sbDhbH9Cz0tuDiY8C3ctxq1tqvaCgkFb8cCA/edit?usp=sharing"",""มุกดาหาร!I526"")"),225)</f>
        <v>225</v>
      </c>
      <c r="J631" s="341">
        <f ca="1">IFERROR(__xludf.DUMMYFUNCTION("IMPORTRANGE(""https://docs.google.com/spreadsheets/d/1XL5vhW3sbDhbH9Cz0tuDiY8C3ctxq1tqvaCgkFb8cCA/edit?usp=sharing"",""มุกดาหาร!J526"")"),20)</f>
        <v>20</v>
      </c>
      <c r="K631" s="342">
        <f t="shared" ca="1" si="129"/>
        <v>8.8888888888888893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IFERROR(__xludf.DUMMYFUNCTION("IMPORTRANGE(""https://docs.google.com/spreadsheets/d/1XL5vhW3sbDhbH9Cz0tuDiY8C3ctxq1tqvaCgkFb8cCA/edit?usp=sharing"",""มุกดาหาร!I527"")"),0)</f>
        <v>0</v>
      </c>
      <c r="J632" s="341">
        <f ca="1">IFERROR(__xludf.DUMMYFUNCTION("IMPORTRANGE(""https://docs.google.com/spreadsheets/d/1XL5vhW3sbDhbH9Cz0tuDiY8C3ctxq1tqvaCgkFb8cCA/edit?usp=sharing"",""มุกดาหาร!J527"")"),26013.5)</f>
        <v>26013.5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IFERROR(__xludf.DUMMYFUNCTION("IMPORTRANGE(""https://docs.google.com/spreadsheets/d/1XL5vhW3sbDhbH9Cz0tuDiY8C3ctxq1tqvaCgkFb8cCA/edit?usp=sharing"",""มุกดาหาร!I528"")"),0)</f>
        <v>0</v>
      </c>
      <c r="J633" s="341">
        <f ca="1">IFERROR(__xludf.DUMMYFUNCTION("IMPORTRANGE(""https://docs.google.com/spreadsheets/d/1XL5vhW3sbDhbH9Cz0tuDiY8C3ctxq1tqvaCgkFb8cCA/edit?usp=sharing"",""มุกดาหาร!J528"")"),4)</f>
        <v>4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IFERROR(__xludf.DUMMYFUNCTION("IMPORTRANGE(""https://docs.google.com/spreadsheets/d/1XL5vhW3sbDhbH9Cz0tuDiY8C3ctxq1tqvaCgkFb8cCA/edit?usp=sharing"",""มุกดาหาร!I529"")"),6300000)</f>
        <v>6300000</v>
      </c>
      <c r="J634" s="341">
        <f ca="1">IFERROR(__xludf.DUMMYFUNCTION("IMPORTRANGE(""https://docs.google.com/spreadsheets/d/1XL5vhW3sbDhbH9Cz0tuDiY8C3ctxq1tqvaCgkFb8cCA/edit?usp=sharing"",""มุกดาหาร!J529"")"),0)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IFERROR(__xludf.DUMMYFUNCTION("IMPORTRANGE(""https://docs.google.com/spreadsheets/d/1XL5vhW3sbDhbH9Cz0tuDiY8C3ctxq1tqvaCgkFb8cCA/edit?usp=sharing"",""มุกดาหาร!I530"")"),150)</f>
        <v>150</v>
      </c>
      <c r="J635" s="504">
        <f ca="1">IFERROR(__xludf.DUMMYFUNCTION("IMPORTRANGE(""https://docs.google.com/spreadsheets/d/1XL5vhW3sbDhbH9Cz0tuDiY8C3ctxq1tqvaCgkFb8cCA/edit?usp=sharing"",""มุกดาหาร!J530"")"),0)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256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5881993</v>
      </c>
      <c r="M8" s="23">
        <f t="shared" ca="1" si="0"/>
        <v>2023210</v>
      </c>
      <c r="N8" s="23">
        <f t="shared" ca="1" si="0"/>
        <v>2060907</v>
      </c>
      <c r="O8" s="22">
        <f t="shared" ref="O8:O16" ca="1" si="1">IF(L8&gt;0,N8*100/L8,0)</f>
        <v>35.037562948476818</v>
      </c>
      <c r="P8" s="22">
        <f t="shared" ref="P8:P16" ca="1" si="2">IF(M8&gt;0,N8*100/M8,0)</f>
        <v>101.86322724778941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5881993</v>
      </c>
      <c r="M10" s="30">
        <f t="shared" ca="1" si="4"/>
        <v>2023210</v>
      </c>
      <c r="N10" s="30">
        <f t="shared" ca="1" si="4"/>
        <v>2060907</v>
      </c>
      <c r="O10" s="29">
        <f t="shared" ca="1" si="1"/>
        <v>35.037562948476818</v>
      </c>
      <c r="P10" s="29">
        <f t="shared" ca="1" si="2"/>
        <v>101.86322724778941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5642593</v>
      </c>
      <c r="M12" s="38">
        <f t="shared" ca="1" si="6"/>
        <v>1783810</v>
      </c>
      <c r="N12" s="38">
        <f t="shared" ca="1" si="6"/>
        <v>1821507</v>
      </c>
      <c r="O12" s="38">
        <f t="shared" ca="1" si="1"/>
        <v>32.281381981652764</v>
      </c>
      <c r="P12" s="38">
        <f t="shared" ca="1" si="2"/>
        <v>102.11328560777213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3569793</v>
      </c>
      <c r="M14" s="38">
        <f t="shared" si="8"/>
        <v>0</v>
      </c>
      <c r="N14" s="38">
        <f t="shared" ca="1" si="8"/>
        <v>401445</v>
      </c>
      <c r="O14" s="38">
        <f t="shared" ca="1" si="1"/>
        <v>11.245610039573723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3506320</v>
      </c>
      <c r="M18" s="23">
        <f t="shared" ca="1" si="11"/>
        <v>2023210</v>
      </c>
      <c r="N18" s="23">
        <f t="shared" ca="1" si="11"/>
        <v>1659462</v>
      </c>
      <c r="O18" s="22">
        <f t="shared" ref="O18:O20" ca="1" si="12">IF(L18&gt;0,N18*100/L18,0)</f>
        <v>47.327739624449563</v>
      </c>
      <c r="P18" s="22">
        <f t="shared" ref="P18:P26" ca="1" si="13">IF(M18&gt;0,N18*100/M18,0)</f>
        <v>82.021243469536032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3506320</v>
      </c>
      <c r="M20" s="30">
        <f t="shared" ca="1" si="15"/>
        <v>2023210</v>
      </c>
      <c r="N20" s="30">
        <f t="shared" ca="1" si="15"/>
        <v>1659462</v>
      </c>
      <c r="O20" s="29">
        <f t="shared" ca="1" si="12"/>
        <v>47.327739624449563</v>
      </c>
      <c r="P20" s="29">
        <f t="shared" ca="1" si="13"/>
        <v>82.021243469536032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3266920</v>
      </c>
      <c r="M22" s="41">
        <f t="shared" ca="1" si="18"/>
        <v>1783810</v>
      </c>
      <c r="N22" s="38">
        <f t="shared" ca="1" si="18"/>
        <v>1420062</v>
      </c>
      <c r="O22" s="38">
        <f t="shared" ca="1" si="17"/>
        <v>43.467914733143147</v>
      </c>
      <c r="P22" s="38">
        <f t="shared" ca="1" si="13"/>
        <v>79.608366361888315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1194120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2375673</v>
      </c>
      <c r="M28" s="23">
        <f t="shared" si="23"/>
        <v>0</v>
      </c>
      <c r="N28" s="23">
        <f t="shared" ca="1" si="23"/>
        <v>401445</v>
      </c>
      <c r="O28" s="22">
        <f t="shared" ref="O28:O30" ca="1" si="24">IF(L28&gt;0,N28*100/L28,0)</f>
        <v>16.898158963796785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2375673</v>
      </c>
      <c r="M30" s="30">
        <f t="shared" si="27"/>
        <v>0</v>
      </c>
      <c r="N30" s="30">
        <f t="shared" ca="1" si="27"/>
        <v>401445</v>
      </c>
      <c r="O30" s="29">
        <f t="shared" ca="1" si="24"/>
        <v>16.898158963796785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2375673</v>
      </c>
      <c r="M32" s="38">
        <f t="shared" si="30"/>
        <v>0</v>
      </c>
      <c r="N32" s="38">
        <f t="shared" ca="1" si="30"/>
        <v>401445</v>
      </c>
      <c r="O32" s="38">
        <f t="shared" ca="1" si="29"/>
        <v>16.898158963796785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2375673</v>
      </c>
      <c r="M34" s="38">
        <f t="shared" si="32"/>
        <v>0</v>
      </c>
      <c r="N34" s="38">
        <f t="shared" ca="1" si="32"/>
        <v>401445</v>
      </c>
      <c r="O34" s="38">
        <f t="shared" ca="1" si="29"/>
        <v>16.898158963796785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3506320</v>
      </c>
      <c r="M37" s="54">
        <f t="shared" ca="1" si="33"/>
        <v>2023210</v>
      </c>
      <c r="N37" s="54">
        <f t="shared" ca="1" si="33"/>
        <v>1659462</v>
      </c>
      <c r="O37" s="55">
        <f t="shared" ca="1" si="29"/>
        <v>47.327739624449563</v>
      </c>
      <c r="P37" s="55">
        <f t="shared" ca="1" si="25"/>
        <v>82.021243469536032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422000</v>
      </c>
      <c r="N41" s="78">
        <f t="shared" ca="1" si="34"/>
        <v>343588</v>
      </c>
      <c r="O41" s="77">
        <f t="shared" ref="O41:O43" ca="1" si="35">IF(L41&gt;0,N41*100/L41,0)</f>
        <v>40.704655846463687</v>
      </c>
      <c r="P41" s="77">
        <f t="shared" ref="P41:P43" ca="1" si="36">IF(M41&gt;0,N41*100/M41,0)</f>
        <v>81.418957345971563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422000</v>
      </c>
      <c r="N43" s="78">
        <f t="shared" ca="1" si="38"/>
        <v>343588</v>
      </c>
      <c r="O43" s="77">
        <f t="shared" ca="1" si="35"/>
        <v>40.704655846463687</v>
      </c>
      <c r="P43" s="77">
        <f t="shared" ca="1" si="36"/>
        <v>81.418957345971563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533">
        <f ca="1">IFERROR(__xludf.DUMMYFUNCTION("IMPORTRANGE(""https://docs.google.com/spreadsheets/d/1Yj_ptqi66GCucihVvJfMjLAmec39IyEx_6qawtMGysU/edit?usp=sharing"",""สบก!Q47"")"),422000)</f>
        <v>422000</v>
      </c>
      <c r="N45" s="533">
        <f ca="1">IFERROR(__xludf.DUMMYFUNCTION("IMPORTRANGE(""https://docs.google.com/spreadsheets/d/1Yj_ptqi66GCucihVvJfMjLAmec39IyEx_6qawtMGysU/edit?usp=sharing"",""สบก!R47"")"),343588)</f>
        <v>343588</v>
      </c>
      <c r="O45" s="534">
        <f ca="1">IF(L45&gt;0,N45*100/L45,0)</f>
        <v>40.704655846463687</v>
      </c>
      <c r="P45" s="534">
        <f ca="1">IF(M45&gt;0,N45*100/M45,0)</f>
        <v>81.418957345971563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IFERROR(__xludf.DUMMYFUNCTION("IMPORTRANGE(""https://docs.google.com/spreadsheets/d/1Yj_ptqi66GCucihVvJfMjLAmec39IyEx_6qawtMGysU/edit?usp=sharing"",""สบก!M47"")"),844100)</f>
        <v>844100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IFERROR(__xludf.DUMMYFUNCTION("IMPORTRANGE(""https://docs.google.com/spreadsheets/d/1Yj_ptqi66GCucihVvJfMjLAmec39IyEx_6qawtMGysU/edit?usp=sharing"",""สบก!N47"")"),0)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IFERROR(__xludf.DUMMYFUNCTION("IMPORTRANGE(""https://docs.google.com/spreadsheets/d/1Yj_ptqi66GCucihVvJfMjLAmec39IyEx_6qawtMGysU/edit?usp=sharing"",""สบก!O47"")"),0)</f>
        <v>0</v>
      </c>
      <c r="M49" s="536"/>
      <c r="N49" s="533">
        <f ca="1">IFERROR(__xludf.DUMMYFUNCTION("IMPORTRANGE(""https://docs.google.com/spreadsheets/d/1Yj_ptqi66GCucihVvJfMjLAmec39IyEx_6qawtMGysU/edit?usp=sharing"",""สบก!S47"")"),0)</f>
        <v>0</v>
      </c>
      <c r="O49" s="536">
        <f ca="1">IF(L49&gt;0,N49*100/L49,0)</f>
        <v>0</v>
      </c>
      <c r="P49" s="53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324720</v>
      </c>
      <c r="N53" s="121">
        <f t="shared" ca="1" si="39"/>
        <v>267111</v>
      </c>
      <c r="O53" s="120">
        <f t="shared" ref="O53:O55" ca="1" si="40">IF(L53&gt;0,N53*100/L53,0)</f>
        <v>42.398571428571429</v>
      </c>
      <c r="P53" s="120">
        <f t="shared" ref="P53:P55" ca="1" si="41">IF(M53&gt;0,N53*100/M53,0)</f>
        <v>82.258869179600893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324720</v>
      </c>
      <c r="N55" s="121">
        <f t="shared" ca="1" si="43"/>
        <v>267111</v>
      </c>
      <c r="O55" s="120">
        <f t="shared" ca="1" si="40"/>
        <v>42.398571428571429</v>
      </c>
      <c r="P55" s="120">
        <f t="shared" ca="1" si="41"/>
        <v>82.258869179600893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533">
        <f ca="1">IFERROR(__xludf.DUMMYFUNCTION("IMPORTRANGE(""https://docs.google.com/spreadsheets/d/1Yj_ptqi66GCucihVvJfMjLAmec39IyEx_6qawtMGysU/edit?usp=sharing"",""สบก!Z47"")"),324720)</f>
        <v>324720</v>
      </c>
      <c r="N57" s="533">
        <f ca="1">IFERROR(__xludf.DUMMYFUNCTION("IMPORTRANGE(""https://docs.google.com/spreadsheets/d/1Yj_ptqi66GCucihVvJfMjLAmec39IyEx_6qawtMGysU/edit?usp=sharing"",""สบก!AA47"")"),267111)</f>
        <v>267111</v>
      </c>
      <c r="O57" s="534">
        <f ca="1">IF(L57&gt;0,N57*100/L57,0)</f>
        <v>42.398571428571429</v>
      </c>
      <c r="P57" s="534">
        <f ca="1">IF(M57&gt;0,N57*100/M57,0)</f>
        <v>82.258869179600893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IFERROR(__xludf.DUMMYFUNCTION("IMPORTRANGE(""https://docs.google.com/spreadsheets/d/1Yj_ptqi66GCucihVvJfMjLAmec39IyEx_6qawtMGysU/edit?usp=sharing"",""สบก!V47"")"),630000)</f>
        <v>630000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IFERROR(__xludf.DUMMYFUNCTION("IMPORTRANGE(""https://docs.google.com/spreadsheets/d/1Yj_ptqi66GCucihVvJfMjLAmec39IyEx_6qawtMGysU/edit?usp=sharing"",""สบก!W47"")"),0)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IFERROR(__xludf.DUMMYFUNCTION("IMPORTRANGE(""https://docs.google.com/spreadsheets/d/1Yj_ptqi66GCucihVvJfMjLAmec39IyEx_6qawtMGysU/edit?usp=sharing"",""สบก!X47"")"),0)</f>
        <v>0</v>
      </c>
      <c r="M61" s="536"/>
      <c r="N61" s="533">
        <f ca="1">IFERROR(__xludf.DUMMYFUNCTION("IMPORTRANGE(""https://docs.google.com/spreadsheets/d/1Yj_ptqi66GCucihVvJfMjLAmec39IyEx_6qawtMGysU/edit?usp=sharing"",""สบก!AB47"")"),0)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409320</v>
      </c>
      <c r="N66" s="152">
        <f t="shared" ca="1" si="45"/>
        <v>291843</v>
      </c>
      <c r="O66" s="151">
        <f t="shared" ref="O66:O68" ca="1" si="46">IF(L66&gt;0,N66*100/L66,0)</f>
        <v>39.147283702213279</v>
      </c>
      <c r="P66" s="151">
        <f t="shared" ref="P66:P68" ca="1" si="47">IF(M66&gt;0,N66*100/M66,0)</f>
        <v>71.299472295514505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409320</v>
      </c>
      <c r="N68" s="157">
        <f t="shared" ca="1" si="49"/>
        <v>291843</v>
      </c>
      <c r="O68" s="156">
        <f t="shared" ca="1" si="46"/>
        <v>39.147283702213279</v>
      </c>
      <c r="P68" s="156">
        <f t="shared" ca="1" si="47"/>
        <v>71.299472295514505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745500</v>
      </c>
      <c r="M70" s="537">
        <f ca="1">IFERROR(__xludf.DUMMYFUNCTION("IMPORTRANGE(""https://docs.google.com/spreadsheets/d/1Yj_ptqi66GCucihVvJfMjLAmec39IyEx_6qawtMGysU/edit?usp=sharing"",""สบก!AI47"")"),409320)</f>
        <v>409320</v>
      </c>
      <c r="N70" s="538">
        <f ca="1">IFERROR(__xludf.DUMMYFUNCTION("IMPORTRANGE(""https://docs.google.com/spreadsheets/d/1Yj_ptqi66GCucihVvJfMjLAmec39IyEx_6qawtMGysU/edit?usp=sharing"",""สบก!AJ47"")"),291843)</f>
        <v>291843</v>
      </c>
      <c r="O70" s="170">
        <f ca="1">IF(L70&gt;0,N70*100/L70,0)</f>
        <v>39.147283702213279</v>
      </c>
      <c r="P70" s="170">
        <f ca="1">IF(M70&gt;0,N70*100/M70,0)</f>
        <v>71.299472295514505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IFERROR(__xludf.DUMMYFUNCTION("IMPORTRANGE(""https://docs.google.com/spreadsheets/d/1Yj_ptqi66GCucihVvJfMjLAmec39IyEx_6qawtMGysU/edit?usp=sharing"",""สบก!AE47"")"),321500)</f>
        <v>321500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IFERROR(__xludf.DUMMYFUNCTION("IMPORTRANGE(""https://docs.google.com/spreadsheets/d/1Yj_ptqi66GCucihVvJfMjLAmec39IyEx_6qawtMGysU/edit?usp=sharing"",""สบก!AF47"")"),424000)</f>
        <v>424000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IFERROR(__xludf.DUMMYFUNCTION("IMPORTRANGE(""https://docs.google.com/spreadsheets/d/1Yj_ptqi66GCucihVvJfMjLAmec39IyEx_6qawtMGysU/edit?usp=sharing"",""สบก!AG47"")"),0)</f>
        <v>0</v>
      </c>
      <c r="M74" s="536"/>
      <c r="N74" s="533">
        <f ca="1">IFERROR(__xludf.DUMMYFUNCTION("IMPORTRANGE(""https://docs.google.com/spreadsheets/d/1Yj_ptqi66GCucihVvJfMjLAmec39IyEx_6qawtMGysU/edit?usp=sharing"",""สบก!AK47"")"),0)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IFERROR(__xludf.DUMMYFUNCTION("IMPORTRANGE(""https://docs.google.com/spreadsheets/d/1XL5vhW3sbDhbH9Cz0tuDiY8C3ctxq1tqvaCgkFb8cCA/edit?usp=sharing"",""ยโสธร!J16"")"),0)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IFERROR(__xludf.DUMMYFUNCTION("IMPORTRANGE(""https://docs.google.com/spreadsheets/d/1XL5vhW3sbDhbH9Cz0tuDiY8C3ctxq1tqvaCgkFb8cCA/edit?usp=sharing"",""ยโสธร!J17"")"),1)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IFERROR(__xludf.DUMMYFUNCTION("IMPORTRANGE(""https://docs.google.com/spreadsheets/d/1XL5vhW3sbDhbH9Cz0tuDiY8C3ctxq1tqvaCgkFb8cCA/edit?usp=sharing"",""ยโสธร!J18"")"),1)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IFERROR(__xludf.DUMMYFUNCTION("IMPORTRANGE(""https://docs.google.com/spreadsheets/d/1XL5vhW3sbDhbH9Cz0tuDiY8C3ctxq1tqvaCgkFb8cCA/edit?usp=sharing"",""ยโสธร!J19"")"),1)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IFERROR(__xludf.DUMMYFUNCTION("IMPORTRANGE(""https://docs.google.com/spreadsheets/d/1XL5vhW3sbDhbH9Cz0tuDiY8C3ctxq1tqvaCgkFb8cCA/edit?usp=sharing"",""ยโสธร!I20"")"),1)</f>
        <v>1</v>
      </c>
      <c r="J80" s="202">
        <f ca="1">IFERROR(__xludf.DUMMYFUNCTION("IMPORTRANGE(""https://docs.google.com/spreadsheets/d/1XL5vhW3sbDhbH9Cz0tuDiY8C3ctxq1tqvaCgkFb8cCA/edit?usp=sharing"",""ยโสธร!J20"")"),1)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IFERROR(__xludf.DUMMYFUNCTION("IMPORTRANGE(""https://docs.google.com/spreadsheets/d/1XL5vhW3sbDhbH9Cz0tuDiY8C3ctxq1tqvaCgkFb8cCA/edit?usp=sharing"",""ยโสธร!I21"")"),40)</f>
        <v>40</v>
      </c>
      <c r="J81" s="202">
        <f ca="1">IFERROR(__xludf.DUMMYFUNCTION("IMPORTRANGE(""https://docs.google.com/spreadsheets/d/1XL5vhW3sbDhbH9Cz0tuDiY8C3ctxq1tqvaCgkFb8cCA/edit?usp=sharing"",""ยโสธร!J21"")"),40)</f>
        <v>40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IFERROR(__xludf.DUMMYFUNCTION("IMPORTRANGE(""https://docs.google.com/spreadsheets/d/1XL5vhW3sbDhbH9Cz0tuDiY8C3ctxq1tqvaCgkFb8cCA/edit?usp=sharing"",""ยโสธร!I22"")"),1)</f>
        <v>1</v>
      </c>
      <c r="J82" s="205">
        <f ca="1">IFERROR(__xludf.DUMMYFUNCTION("IMPORTRANGE(""https://docs.google.com/spreadsheets/d/1XL5vhW3sbDhbH9Cz0tuDiY8C3ctxq1tqvaCgkFb8cCA/edit?usp=sharing"",""ยโสธร!J22"")"),1)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IFERROR(__xludf.DUMMYFUNCTION("IMPORTRANGE(""https://docs.google.com/spreadsheets/d/1XL5vhW3sbDhbH9Cz0tuDiY8C3ctxq1tqvaCgkFb8cCA/edit?usp=sharing"",""ยโสธร!I23"")"),40)</f>
        <v>40</v>
      </c>
      <c r="J83" s="205">
        <f ca="1">IFERROR(__xludf.DUMMYFUNCTION("IMPORTRANGE(""https://docs.google.com/spreadsheets/d/1XL5vhW3sbDhbH9Cz0tuDiY8C3ctxq1tqvaCgkFb8cCA/edit?usp=sharing"",""ยโสธร!J23"")"),40)</f>
        <v>40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IFERROR(__xludf.DUMMYFUNCTION("IMPORTRANGE(""https://docs.google.com/spreadsheets/d/1XL5vhW3sbDhbH9Cz0tuDiY8C3ctxq1tqvaCgkFb8cCA/edit?usp=sharing"",""ยโสธร!I24"")"),0)</f>
        <v>0</v>
      </c>
      <c r="J84" s="190">
        <f ca="1">IFERROR(__xludf.DUMMYFUNCTION("IMPORTRANGE(""https://docs.google.com/spreadsheets/d/1XL5vhW3sbDhbH9Cz0tuDiY8C3ctxq1tqvaCgkFb8cCA/edit?usp=sharing"",""ยโสธร!J24"")"),0)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IFERROR(__xludf.DUMMYFUNCTION("IMPORTRANGE(""https://docs.google.com/spreadsheets/d/1XL5vhW3sbDhbH9Cz0tuDiY8C3ctxq1tqvaCgkFb8cCA/edit?usp=sharing"",""ยโสธร!I25"")"),0)</f>
        <v>0</v>
      </c>
      <c r="J85" s="190">
        <f ca="1">IFERROR(__xludf.DUMMYFUNCTION("IMPORTRANGE(""https://docs.google.com/spreadsheets/d/1XL5vhW3sbDhbH9Cz0tuDiY8C3ctxq1tqvaCgkFb8cCA/edit?usp=sharing"",""ยโสธร!J25"")"),0)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IFERROR(__xludf.DUMMYFUNCTION("IMPORTRANGE(""https://docs.google.com/spreadsheets/d/1XL5vhW3sbDhbH9Cz0tuDiY8C3ctxq1tqvaCgkFb8cCA/edit?usp=sharing"",""ยโสธร!I26"")"),0)</f>
        <v>0</v>
      </c>
      <c r="J86" s="205">
        <f ca="1">IFERROR(__xludf.DUMMYFUNCTION("IMPORTRANGE(""https://docs.google.com/spreadsheets/d/1XL5vhW3sbDhbH9Cz0tuDiY8C3ctxq1tqvaCgkFb8cCA/edit?usp=sharing"",""ยโสธร!J26"")"),0)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IFERROR(__xludf.DUMMYFUNCTION("IMPORTRANGE(""https://docs.google.com/spreadsheets/d/1XL5vhW3sbDhbH9Cz0tuDiY8C3ctxq1tqvaCgkFb8cCA/edit?usp=sharing"",""ยโสธร!I27"")"),0)</f>
        <v>0</v>
      </c>
      <c r="J87" s="205">
        <f ca="1">IFERROR(__xludf.DUMMYFUNCTION("IMPORTRANGE(""https://docs.google.com/spreadsheets/d/1XL5vhW3sbDhbH9Cz0tuDiY8C3ctxq1tqvaCgkFb8cCA/edit?usp=sharing"",""ยโสธร!J27"")"),0)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IFERROR(__xludf.DUMMYFUNCTION("IMPORTRANGE(""https://docs.google.com/spreadsheets/d/1XL5vhW3sbDhbH9Cz0tuDiY8C3ctxq1tqvaCgkFb8cCA/edit?usp=sharing"",""ยโสธร!I28"")"),40)</f>
        <v>40</v>
      </c>
      <c r="J88" s="205">
        <f ca="1">IFERROR(__xludf.DUMMYFUNCTION("IMPORTRANGE(""https://docs.google.com/spreadsheets/d/1XL5vhW3sbDhbH9Cz0tuDiY8C3ctxq1tqvaCgkFb8cCA/edit?usp=sharing"",""ยโสธร!J28"")"),0)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IFERROR(__xludf.DUMMYFUNCTION("IMPORTRANGE(""https://docs.google.com/spreadsheets/d/1XL5vhW3sbDhbH9Cz0tuDiY8C3ctxq1tqvaCgkFb8cCA/edit?usp=sharing"",""ยโสธร!J29"")"),0)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123340</v>
      </c>
      <c r="O94" s="151">
        <f t="shared" ref="O94:O96" ca="1" si="53">IF(L94&gt;0,N94*100/L94,0)</f>
        <v>57.501165501165502</v>
      </c>
      <c r="P94" s="151">
        <f t="shared" ref="P94:P96" ca="1" si="54">IF(M94&gt;0,N94*100/M94,0)</f>
        <v>76.546887606280649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123340</v>
      </c>
      <c r="O96" s="156">
        <f t="shared" ca="1" si="53"/>
        <v>57.501165501165502</v>
      </c>
      <c r="P96" s="156">
        <f t="shared" ca="1" si="54"/>
        <v>76.546887606280649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IFERROR(__xludf.DUMMYFUNCTION("IMPORTRANGE(""https://docs.google.com/spreadsheets/d/1Yj_ptqi66GCucihVvJfMjLAmec39IyEx_6qawtMGysU/edit?usp=sharing"",""สบก!AR47"")"),68730)</f>
        <v>68730</v>
      </c>
      <c r="N98" s="538">
        <f ca="1">IFERROR(__xludf.DUMMYFUNCTION("IMPORTRANGE(""https://docs.google.com/spreadsheets/d/1Yj_ptqi66GCucihVvJfMjLAmec39IyEx_6qawtMGysU/edit?usp=sharing"",""สบก!AS47"")"),30940)</f>
        <v>30940</v>
      </c>
      <c r="O98" s="170">
        <f ca="1">IF(L98&gt;0,N98*100/L98,0)</f>
        <v>25.339885339885338</v>
      </c>
      <c r="P98" s="170">
        <f ca="1">IF(M98&gt;0,N98*100/M98,0)</f>
        <v>45.016732140258988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IFERROR(__xludf.DUMMYFUNCTION("IMPORTRANGE(""https://docs.google.com/spreadsheets/d/1Yj_ptqi66GCucihVvJfMjLAmec39IyEx_6qawtMGysU/edit?usp=sharing"",""สบก!AN47"")"),0)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IFERROR(__xludf.DUMMYFUNCTION("IMPORTRANGE(""https://docs.google.com/spreadsheets/d/1Yj_ptqi66GCucihVvJfMjLAmec39IyEx_6qawtMGysU/edit?usp=sharing"",""สบก!AO47"")"),122100)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IFERROR(__xludf.DUMMYFUNCTION("IMPORTRANGE(""https://docs.google.com/spreadsheets/d/1Yj_ptqi66GCucihVvJfMjLAmec39IyEx_6qawtMGysU/edit?usp=sharing"",""สบก!AP47"")"),92400)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IFERROR(__xludf.DUMMYFUNCTION("IMPORTRANGE(""https://docs.google.com/spreadsheets/d/1Yj_ptqi66GCucihVvJfMjLAmec39IyEx_6qawtMGysU/edit?usp=sharing"",""สบก!AT47"")"),92400)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IFERROR(__xludf.DUMMYFUNCTION("IMPORTRANGE(""https://docs.google.com/spreadsheets/d/1XL5vhW3sbDhbH9Cz0tuDiY8C3ctxq1tqvaCgkFb8cCA/edit?usp=sharing"",""ยโสธร!I43"")"),1)</f>
        <v>1</v>
      </c>
      <c r="J108" s="205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IFERROR(__xludf.DUMMYFUNCTION("IMPORTRANGE(""https://docs.google.com/spreadsheets/d/1XL5vhW3sbDhbH9Cz0tuDiY8C3ctxq1tqvaCgkFb8cCA/edit?usp=sharing"",""ยโสธร!I44"")"),4)</f>
        <v>4</v>
      </c>
      <c r="J109" s="205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IFERROR(__xludf.DUMMYFUNCTION("IMPORTRANGE(""https://docs.google.com/spreadsheets/d/1XL5vhW3sbDhbH9Cz0tuDiY8C3ctxq1tqvaCgkFb8cCA/edit?usp=sharing"",""ยโสธร!I45"")"),4)</f>
        <v>4</v>
      </c>
      <c r="J110" s="205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IFERROR(__xludf.DUMMYFUNCTION("IMPORTRANGE(""https://docs.google.com/spreadsheets/d/1XL5vhW3sbDhbH9Cz0tuDiY8C3ctxq1tqvaCgkFb8cCA/edit?usp=sharing"",""ยโสธร!I46"")"),4)</f>
        <v>4</v>
      </c>
      <c r="J111" s="205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IFERROR(__xludf.DUMMYFUNCTION("IMPORTRANGE(""https://docs.google.com/spreadsheets/d/1XL5vhW3sbDhbH9Cz0tuDiY8C3ctxq1tqvaCgkFb8cCA/edit?usp=sharing"",""ยโสธร!I47"")"),4)</f>
        <v>4</v>
      </c>
      <c r="J112" s="205">
        <f ca="1">IFERROR(__xludf.DUMMYFUNCTION("IMPORTRANGE(""https://docs.google.com/spreadsheets/d/1XL5vhW3sbDhbH9Cz0tuDiY8C3ctxq1tqvaCgkFb8cCA/edit?usp=sharing"",""ยโสธร!J47"")"),0)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IFERROR(__xludf.DUMMYFUNCTION("IMPORTRANGE(""https://docs.google.com/spreadsheets/d/1XL5vhW3sbDhbH9Cz0tuDiY8C3ctxq1tqvaCgkFb8cCA/edit?usp=sharing"",""ยโสธร!I48"")"),1)</f>
        <v>1</v>
      </c>
      <c r="J113" s="205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25880</v>
      </c>
      <c r="O118" s="151">
        <f t="shared" ref="O118:O120" ca="1" si="59">IF(L118&gt;0,N118*100/L118,0)</f>
        <v>31.392527899078118</v>
      </c>
      <c r="P118" s="151">
        <f t="shared" ref="P118:P120" ca="1" si="60">IF(M118&gt;0,N118*100/M118,0)</f>
        <v>38.952438290186635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25880</v>
      </c>
      <c r="O120" s="156">
        <f t="shared" ca="1" si="59"/>
        <v>31.392527899078118</v>
      </c>
      <c r="P120" s="156">
        <f t="shared" ca="1" si="60"/>
        <v>38.952438290186635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IFERROR(__xludf.DUMMYFUNCTION("IMPORTRANGE(""https://docs.google.com/spreadsheets/d/1Yj_ptqi66GCucihVvJfMjLAmec39IyEx_6qawtMGysU/edit?usp=sharing"",""สบก!BA47"")"),66440)</f>
        <v>66440</v>
      </c>
      <c r="N122" s="538">
        <f ca="1">IFERROR(__xludf.DUMMYFUNCTION("IMPORTRANGE(""https://docs.google.com/spreadsheets/d/1Yj_ptqi66GCucihVvJfMjLAmec39IyEx_6qawtMGysU/edit?usp=sharing"",""สบก!BB47"")"),25880)</f>
        <v>25880</v>
      </c>
      <c r="O122" s="170">
        <f ca="1">IF(L122&gt;0,N122*100/L122,0)</f>
        <v>31.392527899078118</v>
      </c>
      <c r="P122" s="170">
        <f ca="1">IF(M122&gt;0,N122*100/M122,0)</f>
        <v>38.952438290186635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IFERROR(__xludf.DUMMYFUNCTION("IMPORTRANGE(""https://docs.google.com/spreadsheets/d/1Yj_ptqi66GCucihVvJfMjLAmec39IyEx_6qawtMGysU/edit?usp=sharing"",""สบก!AW47"")"),0)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IFERROR(__xludf.DUMMYFUNCTION("IMPORTRANGE(""https://docs.google.com/spreadsheets/d/1Yj_ptqi66GCucihVvJfMjLAmec39IyEx_6qawtMGysU/edit?usp=sharing"",""สบก!AX47"")"),82440)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IFERROR(__xludf.DUMMYFUNCTION("IMPORTRANGE(""https://docs.google.com/spreadsheets/d/1Yj_ptqi66GCucihVvJfMjLAmec39IyEx_6qawtMGysU/edit?usp=sharing"",""สบก!AY47"")"),0)</f>
        <v>0</v>
      </c>
      <c r="M126" s="536"/>
      <c r="N126" s="533">
        <f ca="1">IFERROR(__xludf.DUMMYFUNCTION("IMPORTRANGE(""https://docs.google.com/spreadsheets/d/1Yj_ptqi66GCucihVvJfMjLAmec39IyEx_6qawtMGysU/edit?usp=sharing"",""สบก!BC47"")"),0)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257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IFERROR(__xludf.DUMMYFUNCTION("IMPORTRANGE(""https://docs.google.com/spreadsheets/d/1XL5vhW3sbDhbH9Cz0tuDiY8C3ctxq1tqvaCgkFb8cCA/edit?usp=sharing"",""ยโสธร!I62"")"),20)</f>
        <v>20</v>
      </c>
      <c r="J132" s="205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IFERROR(__xludf.DUMMYFUNCTION("IMPORTRANGE(""https://docs.google.com/spreadsheets/d/1XL5vhW3sbDhbH9Cz0tuDiY8C3ctxq1tqvaCgkFb8cCA/edit?usp=sharing"",""ยโสธร!I63"")"),20)</f>
        <v>20</v>
      </c>
      <c r="J133" s="205">
        <f ca="1">IFERROR(__xludf.DUMMYFUNCTION("IMPORTRANGE(""https://docs.google.com/spreadsheets/d/1XL5vhW3sbDhbH9Cz0tuDiY8C3ctxq1tqvaCgkFb8cCA/edit?usp=sharing"",""ยโสธร!J63"")"),0)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79000</v>
      </c>
      <c r="M140" s="152">
        <f t="shared" ca="1" si="64"/>
        <v>63750</v>
      </c>
      <c r="N140" s="152">
        <f t="shared" ca="1" si="64"/>
        <v>55480</v>
      </c>
      <c r="O140" s="151">
        <f t="shared" ref="O140:O142" ca="1" si="65">IF(L140&gt;0,N140*100/L140,0)</f>
        <v>70.22784810126582</v>
      </c>
      <c r="P140" s="151">
        <f t="shared" ref="P140:P142" ca="1" si="66">IF(M140&gt;0,N140*100/M140,0)</f>
        <v>87.02745098039216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79000</v>
      </c>
      <c r="M142" s="157">
        <f t="shared" ca="1" si="68"/>
        <v>63750</v>
      </c>
      <c r="N142" s="157">
        <f t="shared" ca="1" si="68"/>
        <v>55480</v>
      </c>
      <c r="O142" s="156">
        <f t="shared" ca="1" si="65"/>
        <v>70.22784810126582</v>
      </c>
      <c r="P142" s="156">
        <f t="shared" ca="1" si="66"/>
        <v>87.02745098039216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79000</v>
      </c>
      <c r="M144" s="537">
        <f ca="1">IFERROR(__xludf.DUMMYFUNCTION("IMPORTRANGE(""https://docs.google.com/spreadsheets/d/1Yj_ptqi66GCucihVvJfMjLAmec39IyEx_6qawtMGysU/edit?usp=sharing"",""สบก!BJ47"")"),63750)</f>
        <v>63750</v>
      </c>
      <c r="N144" s="538">
        <f ca="1">IFERROR(__xludf.DUMMYFUNCTION("IMPORTRANGE(""https://docs.google.com/spreadsheets/d/1Yj_ptqi66GCucihVvJfMjLAmec39IyEx_6qawtMGysU/edit?usp=sharing"",""สบก!BK47"")"),55480)</f>
        <v>55480</v>
      </c>
      <c r="O144" s="170">
        <f ca="1">IF(L144&gt;0,N144*100/L144,0)</f>
        <v>70.22784810126582</v>
      </c>
      <c r="P144" s="170">
        <f ca="1">IF(M144&gt;0,N144*100/M144,0)</f>
        <v>87.02745098039216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IFERROR(__xludf.DUMMYFUNCTION("IMPORTRANGE(""https://docs.google.com/spreadsheets/d/1Yj_ptqi66GCucihVvJfMjLAmec39IyEx_6qawtMGysU/edit?usp=sharing"",""สบก!BF47"")"),0)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IFERROR(__xludf.DUMMYFUNCTION("IMPORTRANGE(""https://docs.google.com/spreadsheets/d/1Yj_ptqi66GCucihVvJfMjLAmec39IyEx_6qawtMGysU/edit?usp=sharing"",""สบก!BG47"")"),79000)</f>
        <v>79000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IFERROR(__xludf.DUMMYFUNCTION("IMPORTRANGE(""https://docs.google.com/spreadsheets/d/1Yj_ptqi66GCucihVvJfMjLAmec39IyEx_6qawtMGysU/edit?usp=sharing"",""สบก!BH47"")"),0)</f>
        <v>0</v>
      </c>
      <c r="M148" s="536"/>
      <c r="N148" s="533">
        <f ca="1">IFERROR(__xludf.DUMMYFUNCTION("IMPORTRANGE(""https://docs.google.com/spreadsheets/d/1Yj_ptqi66GCucihVvJfMjLAmec39IyEx_6qawtMGysU/edit?usp=sharing"",""สบก!BL47"")"),0)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IFERROR(__xludf.DUMMYFUNCTION("IMPORTRANGE(""https://docs.google.com/spreadsheets/d/1XL5vhW3sbDhbH9Cz0tuDiY8C3ctxq1tqvaCgkFb8cCA/edit?usp=sharing"",""ยโสธร!J79"")"),0)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IFERROR(__xludf.DUMMYFUNCTION("IMPORTRANGE(""https://docs.google.com/spreadsheets/d/1XL5vhW3sbDhbH9Cz0tuDiY8C3ctxq1tqvaCgkFb8cCA/edit?usp=sharing"",""ยโสธร!J80"")"),1)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IFERROR(__xludf.DUMMYFUNCTION("IMPORTRANGE(""https://docs.google.com/spreadsheets/d/1XL5vhW3sbDhbH9Cz0tuDiY8C3ctxq1tqvaCgkFb8cCA/edit?usp=sharing"",""ยโสธร!J81"")"),1)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IFERROR(__xludf.DUMMYFUNCTION("IMPORTRANGE(""https://docs.google.com/spreadsheets/d/1XL5vhW3sbDhbH9Cz0tuDiY8C3ctxq1tqvaCgkFb8cCA/edit?usp=sharing"",""ยโสธร!J82"")"),0)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IFERROR(__xludf.DUMMYFUNCTION("IMPORTRANGE(""https://docs.google.com/spreadsheets/d/1XL5vhW3sbDhbH9Cz0tuDiY8C3ctxq1tqvaCgkFb8cCA/edit?usp=sharing"",""ยโสธร!I83"")"),4)</f>
        <v>4</v>
      </c>
      <c r="J158" s="190">
        <f ca="1">IFERROR(__xludf.DUMMYFUNCTION("IMPORTRANGE(""https://docs.google.com/spreadsheets/d/1XL5vhW3sbDhbH9Cz0tuDiY8C3ctxq1tqvaCgkFb8cCA/edit?usp=sharing"",""ยโสธร!J83"")"),1)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IFERROR(__xludf.DUMMYFUNCTION("IMPORTRANGE(""https://docs.google.com/spreadsheets/d/1XL5vhW3sbDhbH9Cz0tuDiY8C3ctxq1tqvaCgkFb8cCA/edit?usp=sharing"",""ยโสธร!J84"")"),20)</f>
        <v>20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IFERROR(__xludf.DUMMYFUNCTION("IMPORTRANGE(""https://docs.google.com/spreadsheets/d/1XL5vhW3sbDhbH9Cz0tuDiY8C3ctxq1tqvaCgkFb8cCA/edit?usp=sharing"",""ยโสธร!J85"")"),20)</f>
        <v>20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IFERROR(__xludf.DUMMYFUNCTION("IMPORTRANGE(""https://docs.google.com/spreadsheets/d/1XL5vhW3sbDhbH9Cz0tuDiY8C3ctxq1tqvaCgkFb8cCA/edit?usp=sharing"",""ยโสธร!J86"")"),0)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IFERROR(__xludf.DUMMYFUNCTION("IMPORTRANGE(""https://docs.google.com/spreadsheets/d/1XL5vhW3sbDhbH9Cz0tuDiY8C3ctxq1tqvaCgkFb8cCA/edit?usp=sharing"",""ยโสธร!J87"")"),0)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IFERROR(__xludf.DUMMYFUNCTION("IMPORTRANGE(""https://docs.google.com/spreadsheets/d/1XL5vhW3sbDhbH9Cz0tuDiY8C3ctxq1tqvaCgkFb8cCA/edit?usp=sharing"",""ยโสธร!J88"")"),0)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IFERROR(__xludf.DUMMYFUNCTION("IMPORTRANGE(""https://docs.google.com/spreadsheets/d/1XL5vhW3sbDhbH9Cz0tuDiY8C3ctxq1tqvaCgkFb8cCA/edit?usp=sharing"",""ยโสธร!I89"")"),3)</f>
        <v>3</v>
      </c>
      <c r="J164" s="284">
        <f ca="1">IFERROR(__xludf.DUMMYFUNCTION("IMPORTRANGE(""https://docs.google.com/spreadsheets/d/1XL5vhW3sbDhbH9Cz0tuDiY8C3ctxq1tqvaCgkFb8cCA/edit?usp=sharing"",""ยโสธร!J89"")"),3)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IFERROR(__xludf.DUMMYFUNCTION("IMPORTRANGE(""https://docs.google.com/spreadsheets/d/1XL5vhW3sbDhbH9Cz0tuDiY8C3ctxq1tqvaCgkFb8cCA/edit?usp=sharing"",""ยโสธร!J94"")"),0)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IFERROR(__xludf.DUMMYFUNCTION("IMPORTRANGE(""https://docs.google.com/spreadsheets/d/1XL5vhW3sbDhbH9Cz0tuDiY8C3ctxq1tqvaCgkFb8cCA/edit?usp=sharing"",""ยโสธร!J95"")"),1)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IFERROR(__xludf.DUMMYFUNCTION("IMPORTRANGE(""https://docs.google.com/spreadsheets/d/1XL5vhW3sbDhbH9Cz0tuDiY8C3ctxq1tqvaCgkFb8cCA/edit?usp=sharing"",""ยโสธร!J96"")"),1)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IFERROR(__xludf.DUMMYFUNCTION("IMPORTRANGE(""https://docs.google.com/spreadsheets/d/1XL5vhW3sbDhbH9Cz0tuDiY8C3ctxq1tqvaCgkFb8cCA/edit?usp=sharing"",""ยโสธร!J97"")"),1)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IFERROR(__xludf.DUMMYFUNCTION("IMPORTRANGE(""https://docs.google.com/spreadsheets/d/1XL5vhW3sbDhbH9Cz0tuDiY8C3ctxq1tqvaCgkFb8cCA/edit?usp=sharing"",""ยโสธร!I98"")"),3)</f>
        <v>3</v>
      </c>
      <c r="J173" s="190">
        <f ca="1">IFERROR(__xludf.DUMMYFUNCTION("IMPORTRANGE(""https://docs.google.com/spreadsheets/d/1XL5vhW3sbDhbH9Cz0tuDiY8C3ctxq1tqvaCgkFb8cCA/edit?usp=sharing"",""ยโสธร!J98"")"),3)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IFERROR(__xludf.DUMMYFUNCTION("IMPORTRANGE(""https://docs.google.com/spreadsheets/d/1XL5vhW3sbDhbH9Cz0tuDiY8C3ctxq1tqvaCgkFb8cCA/edit?usp=sharing"",""ยโสธร!J99"")"),0)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IFERROR(__xludf.DUMMYFUNCTION("IMPORTRANGE(""https://docs.google.com/spreadsheets/d/1XL5vhW3sbDhbH9Cz0tuDiY8C3ctxq1tqvaCgkFb8cCA/edit?usp=sharing"",""ยโสธร!J100"")"),0)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IFERROR(__xludf.DUMMYFUNCTION("IMPORTRANGE(""https://docs.google.com/spreadsheets/d/1XL5vhW3sbDhbH9Cz0tuDiY8C3ctxq1tqvaCgkFb8cCA/edit?usp=sharing"",""ยโสธร!I101"")"),1)</f>
        <v>1</v>
      </c>
      <c r="J176" s="284">
        <f ca="1">IFERROR(__xludf.DUMMYFUNCTION("IMPORTRANGE(""https://docs.google.com/spreadsheets/d/1XL5vhW3sbDhbH9Cz0tuDiY8C3ctxq1tqvaCgkFb8cCA/edit?usp=sharing"",""ยโสธร!J101"")"),1)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IFERROR(__xludf.DUMMYFUNCTION("IMPORTRANGE(""https://docs.google.com/spreadsheets/d/1XL5vhW3sbDhbH9Cz0tuDiY8C3ctxq1tqvaCgkFb8cCA/edit?usp=sharing"",""ยโสธร!J107"")"),1)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IFERROR(__xludf.DUMMYFUNCTION("IMPORTRANGE(""https://docs.google.com/spreadsheets/d/1XL5vhW3sbDhbH9Cz0tuDiY8C3ctxq1tqvaCgkFb8cCA/edit?usp=sharing"",""ยโสธร!J108"")"),1)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IFERROR(__xludf.DUMMYFUNCTION("IMPORTRANGE(""https://docs.google.com/spreadsheets/d/1XL5vhW3sbDhbH9Cz0tuDiY8C3ctxq1tqvaCgkFb8cCA/edit?usp=sharing"",""ยโสธร!J109"")"),1)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IFERROR(__xludf.DUMMYFUNCTION("IMPORTRANGE(""https://docs.google.com/spreadsheets/d/1XL5vhW3sbDhbH9Cz0tuDiY8C3ctxq1tqvaCgkFb8cCA/edit?usp=sharing"",""ยโสธร!I110"")"),1)</f>
        <v>1</v>
      </c>
      <c r="J185" s="205">
        <f ca="1">IFERROR(__xludf.DUMMYFUNCTION("IMPORTRANGE(""https://docs.google.com/spreadsheets/d/1XL5vhW3sbDhbH9Cz0tuDiY8C3ctxq1tqvaCgkFb8cCA/edit?usp=sharing"",""ยโสธร!J110"")"),0)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IFERROR(__xludf.DUMMYFUNCTION("IMPORTRANGE(""https://docs.google.com/spreadsheets/d/1XL5vhW3sbDhbH9Cz0tuDiY8C3ctxq1tqvaCgkFb8cCA/edit?usp=sharing"",""ยโสธร!I111"")"),1)</f>
        <v>1</v>
      </c>
      <c r="J186" s="205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IFERROR(__xludf.DUMMYFUNCTION("IMPORTRANGE(""https://docs.google.com/spreadsheets/d/1XL5vhW3sbDhbH9Cz0tuDiY8C3ctxq1tqvaCgkFb8cCA/edit?usp=sharing"",""ยโสธร!J112"")"),0)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IFERROR(__xludf.DUMMYFUNCTION("IMPORTRANGE(""https://docs.google.com/spreadsheets/d/1XL5vhW3sbDhbH9Cz0tuDiY8C3ctxq1tqvaCgkFb8cCA/edit?usp=sharing"",""ยโสธร!J113"")"),0)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IFERROR(__xludf.DUMMYFUNCTION("IMPORTRANGE(""https://docs.google.com/spreadsheets/d/1XL5vhW3sbDhbH9Cz0tuDiY8C3ctxq1tqvaCgkFb8cCA/edit?usp=sharing"",""ยโสธร!I114"")"),30000)</f>
        <v>30000</v>
      </c>
      <c r="J189" s="284">
        <f ca="1">IFERROR(__xludf.DUMMYFUNCTION("IMPORTRANGE(""https://docs.google.com/spreadsheets/d/1XL5vhW3sbDhbH9Cz0tuDiY8C3ctxq1tqvaCgkFb8cCA/edit?usp=sharing"",""ยโสธร!J114"")"),0)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IFERROR(__xludf.DUMMYFUNCTION("IMPORTRANGE(""https://docs.google.com/spreadsheets/d/1XL5vhW3sbDhbH9Cz0tuDiY8C3ctxq1tqvaCgkFb8cCA/edit?usp=sharing"",""ยโสธร!J119"")"),0)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IFERROR(__xludf.DUMMYFUNCTION("IMPORTRANGE(""https://docs.google.com/spreadsheets/d/1XL5vhW3sbDhbH9Cz0tuDiY8C3ctxq1tqvaCgkFb8cCA/edit?usp=sharing"",""ยโสธร!J120"")"),1)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IFERROR(__xludf.DUMMYFUNCTION("IMPORTRANGE(""https://docs.google.com/spreadsheets/d/1XL5vhW3sbDhbH9Cz0tuDiY8C3ctxq1tqvaCgkFb8cCA/edit?usp=sharing"",""ยโสธร!J121"")"),0)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IFERROR(__xludf.DUMMYFUNCTION("IMPORTRANGE(""https://docs.google.com/spreadsheets/d/1XL5vhW3sbDhbH9Cz0tuDiY8C3ctxq1tqvaCgkFb8cCA/edit?usp=sharing"",""ยโสธร!J122"")"),0)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IFERROR(__xludf.DUMMYFUNCTION("IMPORTRANGE(""https://docs.google.com/spreadsheets/d/1XL5vhW3sbDhbH9Cz0tuDiY8C3ctxq1tqvaCgkFb8cCA/edit?usp=sharing"",""ยโสธร!I124"")"),30000)</f>
        <v>30000</v>
      </c>
      <c r="J199" s="190">
        <f ca="1">IFERROR(__xludf.DUMMYFUNCTION("IMPORTRANGE(""https://docs.google.com/spreadsheets/d/1XL5vhW3sbDhbH9Cz0tuDiY8C3ctxq1tqvaCgkFb8cCA/edit?usp=sharing"",""ยโสธร!J124"")"),0)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IFERROR(__xludf.DUMMYFUNCTION("IMPORTRANGE(""https://docs.google.com/spreadsheets/d/1XL5vhW3sbDhbH9Cz0tuDiY8C3ctxq1tqvaCgkFb8cCA/edit?usp=sharing"",""ยโสธร!I125"")"),30000)</f>
        <v>30000</v>
      </c>
      <c r="J200" s="190">
        <f ca="1">IFERROR(__xludf.DUMMYFUNCTION("IMPORTRANGE(""https://docs.google.com/spreadsheets/d/1XL5vhW3sbDhbH9Cz0tuDiY8C3ctxq1tqvaCgkFb8cCA/edit?usp=sharing"",""ยโสธร!J125"")"),0)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IFERROR(__xludf.DUMMYFUNCTION("IMPORTRANGE(""https://docs.google.com/spreadsheets/d/1XL5vhW3sbDhbH9Cz0tuDiY8C3ctxq1tqvaCgkFb8cCA/edit?usp=sharing"",""ยโสธร!I126"")"),0)</f>
        <v>0</v>
      </c>
      <c r="J201" s="190">
        <f ca="1">IFERROR(__xludf.DUMMYFUNCTION("IMPORTRANGE(""https://docs.google.com/spreadsheets/d/1XL5vhW3sbDhbH9Cz0tuDiY8C3ctxq1tqvaCgkFb8cCA/edit?usp=sharing"",""ยโสธร!J126"")"),0)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IFERROR(__xludf.DUMMYFUNCTION("IMPORTRANGE(""https://docs.google.com/spreadsheets/d/1XL5vhW3sbDhbH9Cz0tuDiY8C3ctxq1tqvaCgkFb8cCA/edit?usp=sharing"",""ยโสธร!J127"")"),0)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IFERROR(__xludf.DUMMYFUNCTION("IMPORTRANGE(""https://docs.google.com/spreadsheets/d/1XL5vhW3sbDhbH9Cz0tuDiY8C3ctxq1tqvaCgkFb8cCA/edit?usp=sharing"",""ยโสธร!J128"")"),0)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IFERROR(__xludf.DUMMYFUNCTION("IMPORTRANGE(""https://docs.google.com/spreadsheets/d/1XL5vhW3sbDhbH9Cz0tuDiY8C3ctxq1tqvaCgkFb8cCA/edit?usp=sharing"",""ยโสธร!I129"")"),0)</f>
        <v>0</v>
      </c>
      <c r="J204" s="284">
        <f ca="1">IFERROR(__xludf.DUMMYFUNCTION("IMPORTRANGE(""https://docs.google.com/spreadsheets/d/1XL5vhW3sbDhbH9Cz0tuDiY8C3ctxq1tqvaCgkFb8cCA/edit?usp=sharing"",""ยโสธร!J129"")"),0)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IFERROR(__xludf.DUMMYFUNCTION("IMPORTRANGE(""https://docs.google.com/spreadsheets/d/1XL5vhW3sbDhbH9Cz0tuDiY8C3ctxq1tqvaCgkFb8cCA/edit?usp=sharing"",""ยโสธร!I138"")"),0)</f>
        <v>0</v>
      </c>
      <c r="J213" s="205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IFERROR(__xludf.DUMMYFUNCTION("IMPORTRANGE(""https://docs.google.com/spreadsheets/d/1XL5vhW3sbDhbH9Cz0tuDiY8C3ctxq1tqvaCgkFb8cCA/edit?usp=sharing"",""ยโสธร!I140"")"),0)</f>
        <v>0</v>
      </c>
      <c r="J215" s="205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IFERROR(__xludf.DUMMYFUNCTION("IMPORTRANGE(""https://docs.google.com/spreadsheets/d/1XL5vhW3sbDhbH9Cz0tuDiY8C3ctxq1tqvaCgkFb8cCA/edit?usp=sharing"",""ยโสธร!I141"")"),0)</f>
        <v>0</v>
      </c>
      <c r="J216" s="205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19870</v>
      </c>
      <c r="O220" s="151">
        <f t="shared" ref="O220:O222" ca="1" si="73">IF(L220&gt;0,N220*100/L220,0)</f>
        <v>98.31766452251361</v>
      </c>
      <c r="P220" s="151">
        <f t="shared" ref="P220:P222" ca="1" si="74">IF(M220&gt;0,N220*100/M220,0)</f>
        <v>98.31766452251361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19870</v>
      </c>
      <c r="O222" s="156">
        <f t="shared" ca="1" si="73"/>
        <v>98.31766452251361</v>
      </c>
      <c r="P222" s="156">
        <f t="shared" ca="1" si="74"/>
        <v>98.31766452251361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IFERROR(__xludf.DUMMYFUNCTION("IMPORTRANGE(""https://docs.google.com/spreadsheets/d/1Yj_ptqi66GCucihVvJfMjLAmec39IyEx_6qawtMGysU/edit?usp=sharing"",""สบก!BS47"")"),20210)</f>
        <v>20210</v>
      </c>
      <c r="N224" s="538">
        <f ca="1">IFERROR(__xludf.DUMMYFUNCTION("IMPORTRANGE(""https://docs.google.com/spreadsheets/d/1Yj_ptqi66GCucihVvJfMjLAmec39IyEx_6qawtMGysU/edit?usp=sharing"",""สบก!BT47"")"),19870)</f>
        <v>19870</v>
      </c>
      <c r="O224" s="170">
        <f ca="1">IF(L224&gt;0,N224*100/L224,0)</f>
        <v>98.31766452251361</v>
      </c>
      <c r="P224" s="170">
        <f ca="1">IF(M224&gt;0,N224*100/M224,0)</f>
        <v>98.31766452251361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IFERROR(__xludf.DUMMYFUNCTION("IMPORTRANGE(""https://docs.google.com/spreadsheets/d/1Yj_ptqi66GCucihVvJfMjLAmec39IyEx_6qawtMGysU/edit?usp=sharing"",""สบก!BO47"")"),0)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IFERROR(__xludf.DUMMYFUNCTION("IMPORTRANGE(""https://docs.google.com/spreadsheets/d/1Yj_ptqi66GCucihVvJfMjLAmec39IyEx_6qawtMGysU/edit?usp=sharing"",""สบก!BP47"")"),20210)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IFERROR(__xludf.DUMMYFUNCTION("IMPORTRANGE(""https://docs.google.com/spreadsheets/d/1Yj_ptqi66GCucihVvJfMjLAmec39IyEx_6qawtMGysU/edit?usp=sharing"",""สบก!BQ47"")"),0)</f>
        <v>0</v>
      </c>
      <c r="M228" s="536"/>
      <c r="N228" s="533">
        <f ca="1">IFERROR(__xludf.DUMMYFUNCTION("IMPORTRANGE(""https://docs.google.com/spreadsheets/d/1Yj_ptqi66GCucihVvJfMjLAmec39IyEx_6qawtMGysU/edit?usp=sharing"",""สบก!BU47"")"),0)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IFERROR(__xludf.DUMMYFUNCTION("IMPORTRANGE(""https://docs.google.com/spreadsheets/d/1XL5vhW3sbDhbH9Cz0tuDiY8C3ctxq1tqvaCgkFb8cCA/edit?usp=sharing"",""ยโสธร!J151"")"),0)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IFERROR(__xludf.DUMMYFUNCTION("IMPORTRANGE(""https://docs.google.com/spreadsheets/d/1XL5vhW3sbDhbH9Cz0tuDiY8C3ctxq1tqvaCgkFb8cCA/edit?usp=sharing"",""ยโสธร!J152"")"),1)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IFERROR(__xludf.DUMMYFUNCTION("IMPORTRANGE(""https://docs.google.com/spreadsheets/d/1XL5vhW3sbDhbH9Cz0tuDiY8C3ctxq1tqvaCgkFb8cCA/edit?usp=sharing"",""ยโสธร!J153"")"),1)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IFERROR(__xludf.DUMMYFUNCTION("IMPORTRANGE(""https://docs.google.com/spreadsheets/d/1XL5vhW3sbDhbH9Cz0tuDiY8C3ctxq1tqvaCgkFb8cCA/edit?usp=sharing"",""ยโสธร!J154"")"),1)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IFERROR(__xludf.DUMMYFUNCTION("IMPORTRANGE(""https://docs.google.com/spreadsheets/d/1XL5vhW3sbDhbH9Cz0tuDiY8C3ctxq1tqvaCgkFb8cCA/edit?usp=sharing"",""ยโสธร!I155"")"),14)</f>
        <v>14</v>
      </c>
      <c r="J235" s="190">
        <f ca="1">IFERROR(__xludf.DUMMYFUNCTION("IMPORTRANGE(""https://docs.google.com/spreadsheets/d/1XL5vhW3sbDhbH9Cz0tuDiY8C3ctxq1tqvaCgkFb8cCA/edit?usp=sharing"",""ยโสธร!J155"")"),14)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IFERROR(__xludf.DUMMYFUNCTION("IMPORTRANGE(""https://docs.google.com/spreadsheets/d/1XL5vhW3sbDhbH9Cz0tuDiY8C3ctxq1tqvaCgkFb8cCA/edit?usp=sharing"",""ยโสธร!J156"")"),0)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IFERROR(__xludf.DUMMYFUNCTION("IMPORTRANGE(""https://docs.google.com/spreadsheets/d/1XL5vhW3sbDhbH9Cz0tuDiY8C3ctxq1tqvaCgkFb8cCA/edit?usp=sharing"",""ยโสธร!J157"")"),0)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IFERROR(__xludf.DUMMYFUNCTION("IMPORTRANGE(""https://docs.google.com/spreadsheets/d/1XL5vhW3sbDhbH9Cz0tuDiY8C3ctxq1tqvaCgkFb8cCA/edit?usp=sharing"",""ยโสธร!J159"")"),"")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IFERROR(__xludf.DUMMYFUNCTION("IMPORTRANGE(""https://docs.google.com/spreadsheets/d/1XL5vhW3sbDhbH9Cz0tuDiY8C3ctxq1tqvaCgkFb8cCA/edit?usp=sharing"",""ยโสธร!J161"")"),0)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IFERROR(__xludf.DUMMYFUNCTION("IMPORTRANGE(""https://docs.google.com/spreadsheets/d/1XL5vhW3sbDhbH9Cz0tuDiY8C3ctxq1tqvaCgkFb8cCA/edit?usp=sharing"",""ยโสธร!J162"")"),0)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IFERROR(__xludf.DUMMYFUNCTION("IMPORTRANGE(""https://docs.google.com/spreadsheets/d/1XL5vhW3sbDhbH9Cz0tuDiY8C3ctxq1tqvaCgkFb8cCA/edit?usp=sharing"",""ยโสธร!J163"")"),0)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IFERROR(__xludf.DUMMYFUNCTION("IMPORTRANGE(""https://docs.google.com/spreadsheets/d/1XL5vhW3sbDhbH9Cz0tuDiY8C3ctxq1tqvaCgkFb8cCA/edit?usp=sharing"",""ยโสธร!I164"")"),0)</f>
        <v>0</v>
      </c>
      <c r="J244" s="189">
        <f ca="1">IFERROR(__xludf.DUMMYFUNCTION("IMPORTRANGE(""https://docs.google.com/spreadsheets/d/1XL5vhW3sbDhbH9Cz0tuDiY8C3ctxq1tqvaCgkFb8cCA/edit?usp=sharing"",""ยโสธร!J164"")"),0)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IFERROR(__xludf.DUMMYFUNCTION("IMPORTRANGE(""https://docs.google.com/spreadsheets/d/1XL5vhW3sbDhbH9Cz0tuDiY8C3ctxq1tqvaCgkFb8cCA/edit?usp=sharing"",""ยโสธร!J165"")"),0)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IFERROR(__xludf.DUMMYFUNCTION("IMPORTRANGE(""https://docs.google.com/spreadsheets/d/1XL5vhW3sbDhbH9Cz0tuDiY8C3ctxq1tqvaCgkFb8cCA/edit?usp=sharing"",""ยโสธร!I169"")"),0)</f>
        <v>0</v>
      </c>
      <c r="J249" s="316">
        <f ca="1">IFERROR(__xludf.DUMMYFUNCTION("IMPORTRANGE(""https://docs.google.com/spreadsheets/d/1XL5vhW3sbDhbH9Cz0tuDiY8C3ctxq1tqvaCgkFb8cCA/edit?usp=sharing"",""ยโสธร!J169"")"),0)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IFERROR(__xludf.DUMMYFUNCTION("IMPORTRANGE(""https://docs.google.com/spreadsheets/d/1Yj_ptqi66GCucihVvJfMjLAmec39IyEx_6qawtMGysU/edit?usp=sharing"",""สบก!CB47"")"),0)</f>
        <v>0</v>
      </c>
      <c r="N254" s="538">
        <f ca="1">IFERROR(__xludf.DUMMYFUNCTION("IMPORTRANGE(""https://docs.google.com/spreadsheets/d/1Yj_ptqi66GCucihVvJfMjLAmec39IyEx_6qawtMGysU/edit?usp=sharing"",""สบก!CC47"")"),0)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IFERROR(__xludf.DUMMYFUNCTION("IMPORTRANGE(""https://docs.google.com/spreadsheets/d/1Yj_ptqi66GCucihVvJfMjLAmec39IyEx_6qawtMGysU/edit?usp=sharing"",""สบก!BX47"")"),0)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IFERROR(__xludf.DUMMYFUNCTION("IMPORTRANGE(""https://docs.google.com/spreadsheets/d/1Yj_ptqi66GCucihVvJfMjLAmec39IyEx_6qawtMGysU/edit?usp=sharing"",""สบก!BY47"")"),0)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IFERROR(__xludf.DUMMYFUNCTION("IMPORTRANGE(""https://docs.google.com/spreadsheets/d/1Yj_ptqi66GCucihVvJfMjLAmec39IyEx_6qawtMGysU/edit?usp=sharing"",""สบก!BZ47"")"),0)</f>
        <v>0</v>
      </c>
      <c r="M258" s="536"/>
      <c r="N258" s="533">
        <f ca="1">IFERROR(__xludf.DUMMYFUNCTION("IMPORTRANGE(""https://docs.google.com/spreadsheets/d/1Yj_ptqi66GCucihVvJfMjLAmec39IyEx_6qawtMGysU/edit?usp=sharing"",""สบก!CD47"")"),0)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IFERROR(__xludf.DUMMYFUNCTION("IMPORTRANGE(""https://docs.google.com/spreadsheets/d/1XL5vhW3sbDhbH9Cz0tuDiY8C3ctxq1tqvaCgkFb8cCA/edit?usp=sharing"",""ยโสธร!J175"")"),0)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IFERROR(__xludf.DUMMYFUNCTION("IMPORTRANGE(""https://docs.google.com/spreadsheets/d/1XL5vhW3sbDhbH9Cz0tuDiY8C3ctxq1tqvaCgkFb8cCA/edit?usp=sharing"",""ยโสธร!J176"")"),0)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IFERROR(__xludf.DUMMYFUNCTION("IMPORTRANGE(""https://docs.google.com/spreadsheets/d/1XL5vhW3sbDhbH9Cz0tuDiY8C3ctxq1tqvaCgkFb8cCA/edit?usp=sharing"",""ยโสธร!J177"")"),0)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IFERROR(__xludf.DUMMYFUNCTION("IMPORTRANGE(""https://docs.google.com/spreadsheets/d/1XL5vhW3sbDhbH9Cz0tuDiY8C3ctxq1tqvaCgkFb8cCA/edit?usp=sharing"",""ยโสธร!J178"")"),0)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IFERROR(__xludf.DUMMYFUNCTION("IMPORTRANGE(""https://docs.google.com/spreadsheets/d/1XL5vhW3sbDhbH9Cz0tuDiY8C3ctxq1tqvaCgkFb8cCA/edit?usp=sharing"",""ยโสธร!I179"")"),0)</f>
        <v>0</v>
      </c>
      <c r="J264" s="190">
        <f ca="1">IFERROR(__xludf.DUMMYFUNCTION("IMPORTRANGE(""https://docs.google.com/spreadsheets/d/1XL5vhW3sbDhbH9Cz0tuDiY8C3ctxq1tqvaCgkFb8cCA/edit?usp=sharing"",""ยโสธร!J179"")"),0)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IFERROR(__xludf.DUMMYFUNCTION("IMPORTRANGE(""https://docs.google.com/spreadsheets/d/1XL5vhW3sbDhbH9Cz0tuDiY8C3ctxq1tqvaCgkFb8cCA/edit?usp=sharing"",""ยโสธร!I180"")"),0)</f>
        <v>0</v>
      </c>
      <c r="J265" s="190">
        <f ca="1">IFERROR(__xludf.DUMMYFUNCTION("IMPORTRANGE(""https://docs.google.com/spreadsheets/d/1XL5vhW3sbDhbH9Cz0tuDiY8C3ctxq1tqvaCgkFb8cCA/edit?usp=sharing"",""ยโสธร!J180"")"),0)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IFERROR(__xludf.DUMMYFUNCTION("IMPORTRANGE(""https://docs.google.com/spreadsheets/d/1XL5vhW3sbDhbH9Cz0tuDiY8C3ctxq1tqvaCgkFb8cCA/edit?usp=sharing"",""ยโสธร!I181"")"),0)</f>
        <v>0</v>
      </c>
      <c r="J266" s="190">
        <f ca="1">IFERROR(__xludf.DUMMYFUNCTION("IMPORTRANGE(""https://docs.google.com/spreadsheets/d/1XL5vhW3sbDhbH9Cz0tuDiY8C3ctxq1tqvaCgkFb8cCA/edit?usp=sharing"",""ยโสธร!J181"")"),0)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IFERROR(__xludf.DUMMYFUNCTION("IMPORTRANGE(""https://docs.google.com/spreadsheets/d/1XL5vhW3sbDhbH9Cz0tuDiY8C3ctxq1tqvaCgkFb8cCA/edit?usp=sharing"",""ยโสธร!I182"")"),0)</f>
        <v>0</v>
      </c>
      <c r="J267" s="190">
        <f ca="1">IFERROR(__xludf.DUMMYFUNCTION("IMPORTRANGE(""https://docs.google.com/spreadsheets/d/1XL5vhW3sbDhbH9Cz0tuDiY8C3ctxq1tqvaCgkFb8cCA/edit?usp=sharing"",""ยโสธร!J182"")"),0)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IFERROR(__xludf.DUMMYFUNCTION("IMPORTRANGE(""https://docs.google.com/spreadsheets/d/1XL5vhW3sbDhbH9Cz0tuDiY8C3ctxq1tqvaCgkFb8cCA/edit?usp=sharing"",""ยโสธร!J183"")"),0)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IFERROR(__xludf.DUMMYFUNCTION("IMPORTRANGE(""https://docs.google.com/spreadsheets/d/1XL5vhW3sbDhbH9Cz0tuDiY8C3ctxq1tqvaCgkFb8cCA/edit?usp=sharing"",""ยโสธร!J184"")"),0)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IFERROR(__xludf.DUMMYFUNCTION("IMPORTRANGE(""https://docs.google.com/spreadsheets/d/1XL5vhW3sbDhbH9Cz0tuDiY8C3ctxq1tqvaCgkFb8cCA/edit?usp=sharing"",""ยโสธร!I185"")"),15)</f>
        <v>15</v>
      </c>
      <c r="J270" s="316">
        <f ca="1">IFERROR(__xludf.DUMMYFUNCTION("IMPORTRANGE(""https://docs.google.com/spreadsheets/d/1XL5vhW3sbDhbH9Cz0tuDiY8C3ctxq1tqvaCgkFb8cCA/edit?usp=sharing"",""ยโสธร!J185"")"),15)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31060</v>
      </c>
      <c r="O271" s="151">
        <f t="shared" ref="O271:O273" ca="1" si="84">IF(L271&gt;0,N271*100/L271,0)</f>
        <v>56.268115942028984</v>
      </c>
      <c r="P271" s="151">
        <f t="shared" ref="P271:P273" ca="1" si="85">IF(M271&gt;0,N271*100/M271,0)</f>
        <v>96.310077519379846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31060</v>
      </c>
      <c r="O273" s="156">
        <f t="shared" ca="1" si="84"/>
        <v>56.268115942028984</v>
      </c>
      <c r="P273" s="156">
        <f t="shared" ca="1" si="85"/>
        <v>96.310077519379846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IFERROR(__xludf.DUMMYFUNCTION("IMPORTRANGE(""https://docs.google.com/spreadsheets/d/1Yj_ptqi66GCucihVvJfMjLAmec39IyEx_6qawtMGysU/edit?usp=sharing"",""สบก!CK47"")"),32250)</f>
        <v>32250</v>
      </c>
      <c r="N275" s="538">
        <f ca="1">IFERROR(__xludf.DUMMYFUNCTION("IMPORTRANGE(""https://docs.google.com/spreadsheets/d/1Yj_ptqi66GCucihVvJfMjLAmec39IyEx_6qawtMGysU/edit?usp=sharing"",""สบก!CL47"")"),31060)</f>
        <v>31060</v>
      </c>
      <c r="O275" s="170">
        <f ca="1">IF(L275&gt;0,N275*100/L275,0)</f>
        <v>56.268115942028984</v>
      </c>
      <c r="P275" s="170">
        <f ca="1">IF(M275&gt;0,N275*100/M275,0)</f>
        <v>96.310077519379846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IFERROR(__xludf.DUMMYFUNCTION("IMPORTRANGE(""https://docs.google.com/spreadsheets/d/1Yj_ptqi66GCucihVvJfMjLAmec39IyEx_6qawtMGysU/edit?usp=sharing"",""สบก!CG47"")"),0)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IFERROR(__xludf.DUMMYFUNCTION("IMPORTRANGE(""https://docs.google.com/spreadsheets/d/1Yj_ptqi66GCucihVvJfMjLAmec39IyEx_6qawtMGysU/edit?usp=sharing"",""สบก!CH47"")"),55200)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IFERROR(__xludf.DUMMYFUNCTION("IMPORTRANGE(""https://docs.google.com/spreadsheets/d/1Yj_ptqi66GCucihVvJfMjLAmec39IyEx_6qawtMGysU/edit?usp=sharing"",""สบก!CI47"")"),0)</f>
        <v>0</v>
      </c>
      <c r="M279" s="536"/>
      <c r="N279" s="533">
        <f ca="1">IFERROR(__xludf.DUMMYFUNCTION("IMPORTRANGE(""https://docs.google.com/spreadsheets/d/1Yj_ptqi66GCucihVvJfMjLAmec39IyEx_6qawtMGysU/edit?usp=sharing"",""สบก!CM47"")"),0)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IFERROR(__xludf.DUMMYFUNCTION("IMPORTRANGE(""https://docs.google.com/spreadsheets/d/1XL5vhW3sbDhbH9Cz0tuDiY8C3ctxq1tqvaCgkFb8cCA/edit?usp=sharing"",""ยโสธร!J191"")"),0)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IFERROR(__xludf.DUMMYFUNCTION("IMPORTRANGE(""https://docs.google.com/spreadsheets/d/1XL5vhW3sbDhbH9Cz0tuDiY8C3ctxq1tqvaCgkFb8cCA/edit?usp=sharing"",""ยโสธร!J192"")"),1)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IFERROR(__xludf.DUMMYFUNCTION("IMPORTRANGE(""https://docs.google.com/spreadsheets/d/1XL5vhW3sbDhbH9Cz0tuDiY8C3ctxq1tqvaCgkFb8cCA/edit?usp=sharing"",""ยโสธร!J193"")"),1)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IFERROR(__xludf.DUMMYFUNCTION("IMPORTRANGE(""https://docs.google.com/spreadsheets/d/1XL5vhW3sbDhbH9Cz0tuDiY8C3ctxq1tqvaCgkFb8cCA/edit?usp=sharing"",""ยโสธร!J194"")"),1)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IFERROR(__xludf.DUMMYFUNCTION("IMPORTRANGE(""https://docs.google.com/spreadsheets/d/1XL5vhW3sbDhbH9Cz0tuDiY8C3ctxq1tqvaCgkFb8cCA/edit?usp=sharing"",""ยโสธร!I195"")"),15)</f>
        <v>15</v>
      </c>
      <c r="J285" s="190">
        <f ca="1">IFERROR(__xludf.DUMMYFUNCTION("IMPORTRANGE(""https://docs.google.com/spreadsheets/d/1XL5vhW3sbDhbH9Cz0tuDiY8C3ctxq1tqvaCgkFb8cCA/edit?usp=sharing"",""ยโสธร!J195"")"),15)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IFERROR(__xludf.DUMMYFUNCTION("IMPORTRANGE(""https://docs.google.com/spreadsheets/d/1XL5vhW3sbDhbH9Cz0tuDiY8C3ctxq1tqvaCgkFb8cCA/edit?usp=sharing"",""ยโสธร!J196"")"),0)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IFERROR(__xludf.DUMMYFUNCTION("IMPORTRANGE(""https://docs.google.com/spreadsheets/d/1XL5vhW3sbDhbH9Cz0tuDiY8C3ctxq1tqvaCgkFb8cCA/edit?usp=sharing"",""ยโสธร!I199"")"),0)</f>
        <v>0</v>
      </c>
      <c r="J289" s="316">
        <f ca="1">IFERROR(__xludf.DUMMYFUNCTION("IMPORTRANGE(""https://docs.google.com/spreadsheets/d/1XL5vhW3sbDhbH9Cz0tuDiY8C3ctxq1tqvaCgkFb8cCA/edit?usp=sharing"",""ยโสธร!J199"")"),0)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IFERROR(__xludf.DUMMYFUNCTION("IMPORTRANGE(""https://docs.google.com/spreadsheets/d/1Yj_ptqi66GCucihVvJfMjLAmec39IyEx_6qawtMGysU/edit?usp=sharing"",""สบก!CT47"")"),0)</f>
        <v>0</v>
      </c>
      <c r="N294" s="538">
        <f ca="1">IFERROR(__xludf.DUMMYFUNCTION("IMPORTRANGE(""https://docs.google.com/spreadsheets/d/1Yj_ptqi66GCucihVvJfMjLAmec39IyEx_6qawtMGysU/edit?usp=sharing"",""สบก!CU47"")"),0)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IFERROR(__xludf.DUMMYFUNCTION("IMPORTRANGE(""https://docs.google.com/spreadsheets/d/1Yj_ptqi66GCucihVvJfMjLAmec39IyEx_6qawtMGysU/edit?usp=sharing"",""สบก!CP47"")"),0)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IFERROR(__xludf.DUMMYFUNCTION("IMPORTRANGE(""https://docs.google.com/spreadsheets/d/1Yj_ptqi66GCucihVvJfMjLAmec39IyEx_6qawtMGysU/edit?usp=sharing"",""สบก!CQ47"")"),0)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IFERROR(__xludf.DUMMYFUNCTION("IMPORTRANGE(""https://docs.google.com/spreadsheets/d/1Yj_ptqi66GCucihVvJfMjLAmec39IyEx_6qawtMGysU/edit?usp=sharing"",""สบก!CR47"")"),0)</f>
        <v>0</v>
      </c>
      <c r="M298" s="536"/>
      <c r="N298" s="533">
        <f ca="1">IFERROR(__xludf.DUMMYFUNCTION("IMPORTRANGE(""https://docs.google.com/spreadsheets/d/1Yj_ptqi66GCucihVvJfMjLAmec39IyEx_6qawtMGysU/edit?usp=sharing"",""สบก!CV47"")"),0)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IFERROR(__xludf.DUMMYFUNCTION("IMPORTRANGE(""https://docs.google.com/spreadsheets/d/1XL5vhW3sbDhbH9Cz0tuDiY8C3ctxq1tqvaCgkFb8cCA/edit?usp=sharing"",""ยโสธร!I209"")"),0)</f>
        <v>0</v>
      </c>
      <c r="J304" s="205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IFERROR(__xludf.DUMMYFUNCTION("IMPORTRANGE(""https://docs.google.com/spreadsheets/d/1XL5vhW3sbDhbH9Cz0tuDiY8C3ctxq1tqvaCgkFb8cCA/edit?usp=sharing"",""ยโสธร!I211"")"),0)</f>
        <v>0</v>
      </c>
      <c r="J306" s="205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IFERROR(__xludf.DUMMYFUNCTION("IMPORTRANGE(""https://docs.google.com/spreadsheets/d/1XL5vhW3sbDhbH9Cz0tuDiY8C3ctxq1tqvaCgkFb8cCA/edit?usp=sharing"",""ยโสธร!I214"")"),0)</f>
        <v>0</v>
      </c>
      <c r="J309" s="333">
        <f ca="1">IFERROR(__xludf.DUMMYFUNCTION("IMPORTRANGE(""https://docs.google.com/spreadsheets/d/1XL5vhW3sbDhbH9Cz0tuDiY8C3ctxq1tqvaCgkFb8cCA/edit?usp=sharing"",""ยโสธร!J214"")"),0)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IFERROR(__xludf.DUMMYFUNCTION("IMPORTRANGE(""https://docs.google.com/spreadsheets/d/1Yj_ptqi66GCucihVvJfMjLAmec39IyEx_6qawtMGysU/edit?usp=sharing"",""สบก!DC47"")"),0)</f>
        <v>0</v>
      </c>
      <c r="N314" s="538">
        <f ca="1">IFERROR(__xludf.DUMMYFUNCTION("IMPORTRANGE(""https://docs.google.com/spreadsheets/d/1Yj_ptqi66GCucihVvJfMjLAmec39IyEx_6qawtMGysU/edit?usp=sharing"",""สบก!DD47"")"),0)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IFERROR(__xludf.DUMMYFUNCTION("IMPORTRANGE(""https://docs.google.com/spreadsheets/d/1Yj_ptqi66GCucihVvJfMjLAmec39IyEx_6qawtMGysU/edit?usp=sharing"",""สบก!CY47"")"),0)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IFERROR(__xludf.DUMMYFUNCTION("IMPORTRANGE(""https://docs.google.com/spreadsheets/d/1Yj_ptqi66GCucihVvJfMjLAmec39IyEx_6qawtMGysU/edit?usp=sharing"",""สบก!CZ47"")"),0)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IFERROR(__xludf.DUMMYFUNCTION("IMPORTRANGE(""https://docs.google.com/spreadsheets/d/1Yj_ptqi66GCucihVvJfMjLAmec39IyEx_6qawtMGysU/edit?usp=sharing"",""สบก!DA47"")"),0)</f>
        <v>0</v>
      </c>
      <c r="M318" s="536"/>
      <c r="N318" s="533">
        <f ca="1">IFERROR(__xludf.DUMMYFUNCTION("IMPORTRANGE(""https://docs.google.com/spreadsheets/d/1Yj_ptqi66GCucihVvJfMjLAmec39IyEx_6qawtMGysU/edit?usp=sharing"",""สบก!DE47"")"),0)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IFERROR(__xludf.DUMMYFUNCTION("IMPORTRANGE(""https://docs.google.com/spreadsheets/d/1XL5vhW3sbDhbH9Cz0tuDiY8C3ctxq1tqvaCgkFb8cCA/edit?usp=sharing"",""ยโสธร!I224"")"),0)</f>
        <v>0</v>
      </c>
      <c r="J324" s="205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IFERROR(__xludf.DUMMYFUNCTION("IMPORTRANGE(""https://docs.google.com/spreadsheets/d/1XL5vhW3sbDhbH9Cz0tuDiY8C3ctxq1tqvaCgkFb8cCA/edit?usp=sharing"",""ยโสธร!I228"")"),280)</f>
        <v>280</v>
      </c>
      <c r="J328" s="339">
        <f ca="1">IFERROR(__xludf.DUMMYFUNCTION("IMPORTRANGE(""https://docs.google.com/spreadsheets/d/1XL5vhW3sbDhbH9Cz0tuDiY8C3ctxq1tqvaCgkFb8cCA/edit?usp=sharing"",""ยโสธร!J228"")"),377)</f>
        <v>377</v>
      </c>
      <c r="K328" s="317">
        <f ca="1">IF(I328&gt;0,J328*100/I328,0)</f>
        <v>134.64285714285714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835370</v>
      </c>
      <c r="M329" s="152">
        <f t="shared" ca="1" si="98"/>
        <v>523390</v>
      </c>
      <c r="N329" s="152">
        <f t="shared" ca="1" si="98"/>
        <v>501290</v>
      </c>
      <c r="O329" s="151">
        <f t="shared" ref="O329:O331" ca="1" si="99">IF(L329&gt;0,N329*100/L329,0)</f>
        <v>60.008140105581958</v>
      </c>
      <c r="P329" s="151">
        <f t="shared" ref="P329:P331" ca="1" si="100">IF(M329&gt;0,N329*100/M329,0)</f>
        <v>95.777527274116821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835370</v>
      </c>
      <c r="M331" s="157">
        <f t="shared" ca="1" si="102"/>
        <v>523390</v>
      </c>
      <c r="N331" s="157">
        <f t="shared" ca="1" si="102"/>
        <v>501290</v>
      </c>
      <c r="O331" s="156">
        <f t="shared" ca="1" si="99"/>
        <v>60.008140105581958</v>
      </c>
      <c r="P331" s="156">
        <f t="shared" ca="1" si="100"/>
        <v>95.777527274116821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688370</v>
      </c>
      <c r="M333" s="537">
        <f ca="1">IFERROR(__xludf.DUMMYFUNCTION("IMPORTRANGE(""https://docs.google.com/spreadsheets/d/1Yj_ptqi66GCucihVvJfMjLAmec39IyEx_6qawtMGysU/edit?usp=sharing"",""สบก!DL47"")"),376390)</f>
        <v>376390</v>
      </c>
      <c r="N333" s="538">
        <f ca="1">IFERROR(__xludf.DUMMYFUNCTION("IMPORTRANGE(""https://docs.google.com/spreadsheets/d/1Yj_ptqi66GCucihVvJfMjLAmec39IyEx_6qawtMGysU/edit?usp=sharing"",""สบก!DM47"")"),354290)</f>
        <v>354290</v>
      </c>
      <c r="O333" s="170">
        <f ca="1">IF(L333&gt;0,N333*100/L333,0)</f>
        <v>51.467960544474629</v>
      </c>
      <c r="P333" s="170">
        <f ca="1">IF(M333&gt;0,N333*100/M333,0)</f>
        <v>94.128430617178992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IFERROR(__xludf.DUMMYFUNCTION("IMPORTRANGE(""https://docs.google.com/spreadsheets/d/1Yj_ptqi66GCucihVvJfMjLAmec39IyEx_6qawtMGysU/edit?usp=sharing"",""สบก!DH47"")"),277200)</f>
        <v>277200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IFERROR(__xludf.DUMMYFUNCTION("IMPORTRANGE(""https://docs.google.com/spreadsheets/d/1Yj_ptqi66GCucihVvJfMjLAmec39IyEx_6qawtMGysU/edit?usp=sharing"",""สบก!DI47"")"),411170)</f>
        <v>411170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IFERROR(__xludf.DUMMYFUNCTION("IMPORTRANGE(""https://docs.google.com/spreadsheets/d/1Yj_ptqi66GCucihVvJfMjLAmec39IyEx_6qawtMGysU/edit?usp=sharing"",""สบก!DJ47"")"),147000)</f>
        <v>147000</v>
      </c>
      <c r="M337" s="536">
        <f ca="1">L337</f>
        <v>147000</v>
      </c>
      <c r="N337" s="533">
        <f ca="1">IFERROR(__xludf.DUMMYFUNCTION("IMPORTRANGE(""https://docs.google.com/spreadsheets/d/1Yj_ptqi66GCucihVvJfMjLAmec39IyEx_6qawtMGysU/edit?usp=sharing"",""สบก!DN47"")"),147000)</f>
        <v>147000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IFERROR(__xludf.DUMMYFUNCTION("IMPORTRANGE(""https://docs.google.com/spreadsheets/d/1XL5vhW3sbDhbH9Cz0tuDiY8C3ctxq1tqvaCgkFb8cCA/edit?usp=sharing"",""ยโสธร!I234"")"),0)</f>
        <v>0</v>
      </c>
      <c r="J339" s="189">
        <f ca="1">IFERROR(__xludf.DUMMYFUNCTION("IMPORTRANGE(""https://docs.google.com/spreadsheets/d/1XL5vhW3sbDhbH9Cz0tuDiY8C3ctxq1tqvaCgkFb8cCA/edit?usp=sharing"",""ยโสธร!J234"")"),126)</f>
        <v>126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IFERROR(__xludf.DUMMYFUNCTION("IMPORTRANGE(""https://docs.google.com/spreadsheets/d/1XL5vhW3sbDhbH9Cz0tuDiY8C3ctxq1tqvaCgkFb8cCA/edit?usp=sharing"",""ยโสธร!I235"")"),1900)</f>
        <v>1900</v>
      </c>
      <c r="J340" s="189">
        <f ca="1">IFERROR(__xludf.DUMMYFUNCTION("IMPORTRANGE(""https://docs.google.com/spreadsheets/d/1XL5vhW3sbDhbH9Cz0tuDiY8C3ctxq1tqvaCgkFb8cCA/edit?usp=sharing"",""ยโสธร!J235"")"),862.53)</f>
        <v>862.53</v>
      </c>
      <c r="K340" s="342">
        <f t="shared" ca="1" si="103"/>
        <v>45.396315789473682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IFERROR(__xludf.DUMMYFUNCTION("IMPORTRANGE(""https://docs.google.com/spreadsheets/d/1XL5vhW3sbDhbH9Cz0tuDiY8C3ctxq1tqvaCgkFb8cCA/edit?usp=sharing"",""ยโสธร!I236"")"),280)</f>
        <v>280</v>
      </c>
      <c r="J341" s="189">
        <f ca="1">IFERROR(__xludf.DUMMYFUNCTION("IMPORTRANGE(""https://docs.google.com/spreadsheets/d/1XL5vhW3sbDhbH9Cz0tuDiY8C3ctxq1tqvaCgkFb8cCA/edit?usp=sharing"",""ยโสธร!J236"")"),431)</f>
        <v>431</v>
      </c>
      <c r="K341" s="342">
        <f t="shared" ca="1" si="103"/>
        <v>153.92857142857142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9">
        <f ca="1">IFERROR(__xludf.DUMMYFUNCTION("IMPORTRANGE(""https://docs.google.com/spreadsheets/d/1XL5vhW3sbDhbH9Cz0tuDiY8C3ctxq1tqvaCgkFb8cCA/edit?usp=sharing"",""ยโสธร!J237"")"),4207.09999999999)</f>
        <v>4207.0999999999904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IFERROR(__xludf.DUMMYFUNCTION("IMPORTRANGE(""https://docs.google.com/spreadsheets/d/1XL5vhW3sbDhbH9Cz0tuDiY8C3ctxq1tqvaCgkFb8cCA/edit?usp=sharing"",""ยโสธร!I238"")"),280)</f>
        <v>280</v>
      </c>
      <c r="J343" s="189">
        <f ca="1">IFERROR(__xludf.DUMMYFUNCTION("IMPORTRANGE(""https://docs.google.com/spreadsheets/d/1XL5vhW3sbDhbH9Cz0tuDiY8C3ctxq1tqvaCgkFb8cCA/edit?usp=sharing"",""ยโสธร!J238"")"),4)</f>
        <v>4</v>
      </c>
      <c r="K343" s="342">
        <f t="shared" ca="1" si="103"/>
        <v>1.4285714285714286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9">
        <f ca="1">IFERROR(__xludf.DUMMYFUNCTION("IMPORTRANGE(""https://docs.google.com/spreadsheets/d/1XL5vhW3sbDhbH9Cz0tuDiY8C3ctxq1tqvaCgkFb8cCA/edit?usp=sharing"",""ยโสธร!J239"")"),17.67)</f>
        <v>17.670000000000002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IFERROR(__xludf.DUMMYFUNCTION("IMPORTRANGE(""https://docs.google.com/spreadsheets/d/1XL5vhW3sbDhbH9Cz0tuDiY8C3ctxq1tqvaCgkFb8cCA/edit?usp=sharing"",""ยโสธร!I240"")"),280)</f>
        <v>280</v>
      </c>
      <c r="J345" s="189">
        <f ca="1">IFERROR(__xludf.DUMMYFUNCTION("IMPORTRANGE(""https://docs.google.com/spreadsheets/d/1XL5vhW3sbDhbH9Cz0tuDiY8C3ctxq1tqvaCgkFb8cCA/edit?usp=sharing"",""ยโสธร!J240"")"),377)</f>
        <v>377</v>
      </c>
      <c r="K345" s="342">
        <f t="shared" ca="1" si="103"/>
        <v>134.64285714285714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9">
        <f ca="1">IFERROR(__xludf.DUMMYFUNCTION("IMPORTRANGE(""https://docs.google.com/spreadsheets/d/1XL5vhW3sbDhbH9Cz0tuDiY8C3ctxq1tqvaCgkFb8cCA/edit?usp=sharing"",""ยโสธร!J241"")"),3750.08)</f>
        <v>3750.08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IFERROR(__xludf.DUMMYFUNCTION("IMPORTRANGE(""https://docs.google.com/spreadsheets/d/1XL5vhW3sbDhbH9Cz0tuDiY8C3ctxq1tqvaCgkFb8cCA/edit?usp=sharing"",""ยโสธร!L242"")"),2375673)</f>
        <v>2375673</v>
      </c>
      <c r="M347" s="358"/>
      <c r="N347" s="358">
        <f ca="1">IFERROR(__xludf.DUMMYFUNCTION("IMPORTRANGE(""https://docs.google.com/spreadsheets/d/1XL5vhW3sbDhbH9Cz0tuDiY8C3ctxq1tqvaCgkFb8cCA/edit?usp=sharing"",""ยโสธร!M242"")"),401445)</f>
        <v>401445</v>
      </c>
      <c r="O347" s="358">
        <f ca="1">+IF(L347&gt;0,N347*100/L347,0)</f>
        <v>16.898158963796785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IFERROR(__xludf.DUMMYFUNCTION("IMPORTRANGE(""https://docs.google.com/spreadsheets/d/1XL5vhW3sbDhbH9Cz0tuDiY8C3ctxq1tqvaCgkFb8cCA/edit?usp=sharing"",""ยโสธร!M244"")"),78080)</f>
        <v>78080</v>
      </c>
      <c r="O349" s="373">
        <f ca="1">+IF(L349&gt;0,N349*100/L349,0)</f>
        <v>11.690372810300943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IFERROR(__xludf.DUMMYFUNCTION("IMPORTRANGE(""https://docs.google.com/spreadsheets/d/1XL5vhW3sbDhbH9Cz0tuDiY8C3ctxq1tqvaCgkFb8cCA/edit?usp=sharing"",""ยโสธร!L246"")"),0)</f>
        <v>0</v>
      </c>
      <c r="M351" s="166"/>
      <c r="N351" s="166">
        <f ca="1">IFERROR(__xludf.DUMMYFUNCTION("IMPORTRANGE(""https://docs.google.com/spreadsheets/d/1XL5vhW3sbDhbH9Cz0tuDiY8C3ctxq1tqvaCgkFb8cCA/edit?usp=sharing"",""ยโสธร!M246"")"),0)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IFERROR(__xludf.DUMMYFUNCTION("IMPORTRANGE(""https://docs.google.com/spreadsheets/d/1XL5vhW3sbDhbH9Cz0tuDiY8C3ctxq1tqvaCgkFb8cCA/edit?usp=sharing"",""ยโสธร!L247"")"),667900)</f>
        <v>667900</v>
      </c>
      <c r="M352" s="167"/>
      <c r="N352" s="166">
        <f ca="1">IFERROR(__xludf.DUMMYFUNCTION("IMPORTRANGE(""https://docs.google.com/spreadsheets/d/1XL5vhW3sbDhbH9Cz0tuDiY8C3ctxq1tqvaCgkFb8cCA/edit?usp=sharing"",""ยโสธร!M247"")"),78080)</f>
        <v>78080</v>
      </c>
      <c r="O352" s="167">
        <f t="shared" ca="1" si="105"/>
        <v>11.690372810300943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IFERROR(__xludf.DUMMYFUNCTION("IMPORTRANGE(""https://docs.google.com/spreadsheets/d/1XL5vhW3sbDhbH9Cz0tuDiY8C3ctxq1tqvaCgkFb8cCA/edit?usp=sharing"",""ยโสธร!L248"")"),0)</f>
        <v>0</v>
      </c>
      <c r="M353" s="170"/>
      <c r="N353" s="170">
        <f ca="1">IFERROR(__xludf.DUMMYFUNCTION("IMPORTRANGE(""https://docs.google.com/spreadsheets/d/1XL5vhW3sbDhbH9Cz0tuDiY8C3ctxq1tqvaCgkFb8cCA/edit?usp=sharing"",""ยโสธร!M248"")"),0)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IFERROR(__xludf.DUMMYFUNCTION("IMPORTRANGE(""https://docs.google.com/spreadsheets/d/1XL5vhW3sbDhbH9Cz0tuDiY8C3ctxq1tqvaCgkFb8cCA/edit?usp=sharing"",""ยโสธร!L249"")"),667900)</f>
        <v>667900</v>
      </c>
      <c r="M354" s="170"/>
      <c r="N354" s="169">
        <f ca="1">IFERROR(__xludf.DUMMYFUNCTION("IMPORTRANGE(""https://docs.google.com/spreadsheets/d/1XL5vhW3sbDhbH9Cz0tuDiY8C3ctxq1tqvaCgkFb8cCA/edit?usp=sharing"",""ยโสธร!M249"")"),78080)</f>
        <v>78080</v>
      </c>
      <c r="O354" s="170">
        <f t="shared" ca="1" si="105"/>
        <v>11.690372810300943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IFERROR(__xludf.DUMMYFUNCTION("IMPORTRANGE(""https://docs.google.com/spreadsheets/d/1XL5vhW3sbDhbH9Cz0tuDiY8C3ctxq1tqvaCgkFb8cCA/edit?usp=sharing"",""ยโสธร!M250"")"),30400)</f>
        <v>30400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IFERROR(__xludf.DUMMYFUNCTION("IMPORTRANGE(""https://docs.google.com/spreadsheets/d/1XL5vhW3sbDhbH9Cz0tuDiY8C3ctxq1tqvaCgkFb8cCA/edit?usp=sharing"",""ยโสธร!M251"")"),0)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IFERROR(__xludf.DUMMYFUNCTION("IMPORTRANGE(""https://docs.google.com/spreadsheets/d/1XL5vhW3sbDhbH9Cz0tuDiY8C3ctxq1tqvaCgkFb8cCA/edit?usp=sharing"",""ยโสธร!M252"")"),22000)</f>
        <v>22000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IFERROR(__xludf.DUMMYFUNCTION("IMPORTRANGE(""https://docs.google.com/spreadsheets/d/1XL5vhW3sbDhbH9Cz0tuDiY8C3ctxq1tqvaCgkFb8cCA/edit?usp=sharing"",""ยโสธร!M253"")"),25680)</f>
        <v>25680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IFERROR(__xludf.DUMMYFUNCTION("IMPORTRANGE(""https://docs.google.com/spreadsheets/d/1XL5vhW3sbDhbH9Cz0tuDiY8C3ctxq1tqvaCgkFb8cCA/edit?usp=sharing"",""ยโสธร!J255"")"),0)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IFERROR(__xludf.DUMMYFUNCTION("IMPORTRANGE(""https://docs.google.com/spreadsheets/d/1XL5vhW3sbDhbH9Cz0tuDiY8C3ctxq1tqvaCgkFb8cCA/edit?usp=sharing"",""ยโสธร!J256"")"),1)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IFERROR(__xludf.DUMMYFUNCTION("IMPORTRANGE(""https://docs.google.com/spreadsheets/d/1XL5vhW3sbDhbH9Cz0tuDiY8C3ctxq1tqvaCgkFb8cCA/edit?usp=sharing"",""ยโสธร!J257"")"),1)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IFERROR(__xludf.DUMMYFUNCTION("IMPORTRANGE(""https://docs.google.com/spreadsheets/d/1XL5vhW3sbDhbH9Cz0tuDiY8C3ctxq1tqvaCgkFb8cCA/edit?usp=sharing"",""ยโสธร!J258"")"),1)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IFERROR(__xludf.DUMMYFUNCTION("IMPORTRANGE(""https://docs.google.com/spreadsheets/d/1XL5vhW3sbDhbH9Cz0tuDiY8C3ctxq1tqvaCgkFb8cCA/edit?usp=sharing"",""ยโสธร!J166"")"),0)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IFERROR(__xludf.DUMMYFUNCTION("IMPORTRANGE(""https://docs.google.com/spreadsheets/d/1XL5vhW3sbDhbH9Cz0tuDiY8C3ctxq1tqvaCgkFb8cCA/edit?usp=sharing"",""ยโสธร!J166"")"),0)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IFERROR(__xludf.DUMMYFUNCTION("IMPORTRANGE(""https://docs.google.com/spreadsheets/d/1XL5vhW3sbDhbH9Cz0tuDiY8C3ctxq1tqvaCgkFb8cCA/edit?usp=sharing"",""ยโสธร!J166"")"),0)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IFERROR(__xludf.DUMMYFUNCTION("IMPORTRANGE(""https://docs.google.com/spreadsheets/d/1XL5vhW3sbDhbH9Cz0tuDiY8C3ctxq1tqvaCgkFb8cCA/edit?usp=sharing"",""ยโสธร!J166"")"),0)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IFERROR(__xludf.DUMMYFUNCTION("IMPORTRANGE(""https://docs.google.com/spreadsheets/d/1XL5vhW3sbDhbH9Cz0tuDiY8C3ctxq1tqvaCgkFb8cCA/edit?usp=sharing"",""ยโสธร!I263"")"),130)</f>
        <v>130</v>
      </c>
      <c r="J368" s="189">
        <f ca="1">IFERROR(__xludf.DUMMYFUNCTION("IMPORTRANGE(""https://docs.google.com/spreadsheets/d/1XL5vhW3sbDhbH9Cz0tuDiY8C3ctxq1tqvaCgkFb8cCA/edit?usp=sharing"",""ยโสธร!J263"")"),0)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IFERROR(__xludf.DUMMYFUNCTION("IMPORTRANGE(""https://docs.google.com/spreadsheets/d/1XL5vhW3sbDhbH9Cz0tuDiY8C3ctxq1tqvaCgkFb8cCA/edit?usp=sharing"",""ยโสธร!I164"")"),0)</f>
        <v>0</v>
      </c>
      <c r="J369" s="205">
        <f ca="1">IFERROR(__xludf.DUMMYFUNCTION("IMPORTRANGE(""https://docs.google.com/spreadsheets/d/1XL5vhW3sbDhbH9Cz0tuDiY8C3ctxq1tqvaCgkFb8cCA/edit?usp=sharing"",""ยโสธร!J164"")"),0)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IFERROR(__xludf.DUMMYFUNCTION("IMPORTRANGE(""https://docs.google.com/spreadsheets/d/1XL5vhW3sbDhbH9Cz0tuDiY8C3ctxq1tqvaCgkFb8cCA/edit?usp=sharing"",""ยโสธร!I265"")"),130)</f>
        <v>130</v>
      </c>
      <c r="J370" s="205">
        <f ca="1">IFERROR(__xludf.DUMMYFUNCTION("IMPORTRANGE(""https://docs.google.com/spreadsheets/d/1XL5vhW3sbDhbH9Cz0tuDiY8C3ctxq1tqvaCgkFb8cCA/edit?usp=sharing"",""ยโสธร!J265"")"),85)</f>
        <v>85</v>
      </c>
      <c r="K370" s="165">
        <f t="shared" ca="1" si="106"/>
        <v>65.384615384615387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IFERROR(__xludf.DUMMYFUNCTION("IMPORTRANGE(""https://docs.google.com/spreadsheets/d/1XL5vhW3sbDhbH9Cz0tuDiY8C3ctxq1tqvaCgkFb8cCA/edit?usp=sharing"",""ยโสธร!I164"")"),0)</f>
        <v>0</v>
      </c>
      <c r="J371" s="190">
        <f ca="1">IFERROR(__xludf.DUMMYFUNCTION("IMPORTRANGE(""https://docs.google.com/spreadsheets/d/1XL5vhW3sbDhbH9Cz0tuDiY8C3ctxq1tqvaCgkFb8cCA/edit?usp=sharing"",""ยโสธร!J164"")"),0)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IFERROR(__xludf.DUMMYFUNCTION("IMPORTRANGE(""https://docs.google.com/spreadsheets/d/1XL5vhW3sbDhbH9Cz0tuDiY8C3ctxq1tqvaCgkFb8cCA/edit?usp=sharing"",""ยโสธร!I267"")"),130)</f>
        <v>130</v>
      </c>
      <c r="J372" s="190">
        <f ca="1">IFERROR(__xludf.DUMMYFUNCTION("IMPORTRANGE(""https://docs.google.com/spreadsheets/d/1XL5vhW3sbDhbH9Cz0tuDiY8C3ctxq1tqvaCgkFb8cCA/edit?usp=sharing"",""ยโสธร!J267"")"),0)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IFERROR(__xludf.DUMMYFUNCTION("IMPORTRANGE(""https://docs.google.com/spreadsheets/d/1XL5vhW3sbDhbH9Cz0tuDiY8C3ctxq1tqvaCgkFb8cCA/edit?usp=sharing"",""ยโสธร!I164"")"),0)</f>
        <v>0</v>
      </c>
      <c r="J373" s="205">
        <f ca="1">IFERROR(__xludf.DUMMYFUNCTION("IMPORTRANGE(""https://docs.google.com/spreadsheets/d/1XL5vhW3sbDhbH9Cz0tuDiY8C3ctxq1tqvaCgkFb8cCA/edit?usp=sharing"",""ยโสธร!J164"")"),0)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IFERROR(__xludf.DUMMYFUNCTION("IMPORTRANGE(""https://docs.google.com/spreadsheets/d/1XL5vhW3sbDhbH9Cz0tuDiY8C3ctxq1tqvaCgkFb8cCA/edit?usp=sharing"",""ยโสธร!I164"")"),0)</f>
        <v>0</v>
      </c>
      <c r="J374" s="189">
        <f ca="1">IFERROR(__xludf.DUMMYFUNCTION("IMPORTRANGE(""https://docs.google.com/spreadsheets/d/1XL5vhW3sbDhbH9Cz0tuDiY8C3ctxq1tqvaCgkFb8cCA/edit?usp=sharing"",""ยโสธร!J164"")"),0)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IFERROR(__xludf.DUMMYFUNCTION("IMPORTRANGE(""https://docs.google.com/spreadsheets/d/1XL5vhW3sbDhbH9Cz0tuDiY8C3ctxq1tqvaCgkFb8cCA/edit?usp=sharing"",""ยโสธร!I270"")"),360)</f>
        <v>360</v>
      </c>
      <c r="J375" s="189">
        <f ca="1">IFERROR(__xludf.DUMMYFUNCTION("IMPORTRANGE(""https://docs.google.com/spreadsheets/d/1XL5vhW3sbDhbH9Cz0tuDiY8C3ctxq1tqvaCgkFb8cCA/edit?usp=sharing"",""ยโสธร!J270"")"),0)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IFERROR(__xludf.DUMMYFUNCTION("IMPORTRANGE(""https://docs.google.com/spreadsheets/d/1XL5vhW3sbDhbH9Cz0tuDiY8C3ctxq1tqvaCgkFb8cCA/edit?usp=sharing"",""ยโสธร!I271"")"),100)</f>
        <v>100</v>
      </c>
      <c r="J376" s="190">
        <f ca="1">IFERROR(__xludf.DUMMYFUNCTION("IMPORTRANGE(""https://docs.google.com/spreadsheets/d/1XL5vhW3sbDhbH9Cz0tuDiY8C3ctxq1tqvaCgkFb8cCA/edit?usp=sharing"",""ยโสธร!J271"")"),0)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IFERROR(__xludf.DUMMYFUNCTION("IMPORTRANGE(""https://docs.google.com/spreadsheets/d/1XL5vhW3sbDhbH9Cz0tuDiY8C3ctxq1tqvaCgkFb8cCA/edit?usp=sharing"",""ยโสธร!I272"")"),260)</f>
        <v>260</v>
      </c>
      <c r="J377" s="205">
        <f ca="1">IFERROR(__xludf.DUMMYFUNCTION("IMPORTRANGE(""https://docs.google.com/spreadsheets/d/1XL5vhW3sbDhbH9Cz0tuDiY8C3ctxq1tqvaCgkFb8cCA/edit?usp=sharing"",""ยโสธร!J272"")"),0)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IFERROR(__xludf.DUMMYFUNCTION("IMPORTRANGE(""https://docs.google.com/spreadsheets/d/1XL5vhW3sbDhbH9Cz0tuDiY8C3ctxq1tqvaCgkFb8cCA/edit?usp=sharing"",""ยโสธร!J273"")"),0)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IFERROR(__xludf.DUMMYFUNCTION("IMPORTRANGE(""https://docs.google.com/spreadsheets/d/1XL5vhW3sbDhbH9Cz0tuDiY8C3ctxq1tqvaCgkFb8cCA/edit?usp=sharing"",""ยโสธร!M275"")"),29600)</f>
        <v>29600</v>
      </c>
      <c r="O380" s="373">
        <f ca="1">+IF(L380&gt;0,N380*100/L380,0)</f>
        <v>6.4328247924544701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IFERROR(__xludf.DUMMYFUNCTION("IMPORTRANGE(""https://docs.google.com/spreadsheets/d/1XL5vhW3sbDhbH9Cz0tuDiY8C3ctxq1tqvaCgkFb8cCA/edit?usp=sharing"",""ยโสธร!L277"")"),0)</f>
        <v>0</v>
      </c>
      <c r="M382" s="166"/>
      <c r="N382" s="166">
        <f ca="1">IFERROR(__xludf.DUMMYFUNCTION("IMPORTRANGE(""https://docs.google.com/spreadsheets/d/1XL5vhW3sbDhbH9Cz0tuDiY8C3ctxq1tqvaCgkFb8cCA/edit?usp=sharing"",""ยโสธร!M277"")"),0)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IFERROR(__xludf.DUMMYFUNCTION("IMPORTRANGE(""https://docs.google.com/spreadsheets/d/1XL5vhW3sbDhbH9Cz0tuDiY8C3ctxq1tqvaCgkFb8cCA/edit?usp=sharing"",""ยโสธร!L278"")"),460140)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IFERROR(__xludf.DUMMYFUNCTION("IMPORTRANGE(""https://docs.google.com/spreadsheets/d/1XL5vhW3sbDhbH9Cz0tuDiY8C3ctxq1tqvaCgkFb8cCA/edit?usp=sharing"",""ยโสธร!M278"")"),29600)</f>
        <v>29600</v>
      </c>
      <c r="O383" s="167">
        <f t="shared" ca="1" si="109"/>
        <v>6.4328247924544701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IFERROR(__xludf.DUMMYFUNCTION("IMPORTRANGE(""https://docs.google.com/spreadsheets/d/1XL5vhW3sbDhbH9Cz0tuDiY8C3ctxq1tqvaCgkFb8cCA/edit?usp=sharing"",""ยโสธร!L279"")"),0)</f>
        <v>0</v>
      </c>
      <c r="M384" s="170"/>
      <c r="N384" s="170">
        <f ca="1">IFERROR(__xludf.DUMMYFUNCTION("IMPORTRANGE(""https://docs.google.com/spreadsheets/d/1XL5vhW3sbDhbH9Cz0tuDiY8C3ctxq1tqvaCgkFb8cCA/edit?usp=sharing"",""ยโสธร!M279"")"),0)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IFERROR(__xludf.DUMMYFUNCTION("IMPORTRANGE(""https://docs.google.com/spreadsheets/d/1XL5vhW3sbDhbH9Cz0tuDiY8C3ctxq1tqvaCgkFb8cCA/edit?usp=sharing"",""ยโสธร!L280"")"),460140)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IFERROR(__xludf.DUMMYFUNCTION("IMPORTRANGE(""https://docs.google.com/spreadsheets/d/1XL5vhW3sbDhbH9Cz0tuDiY8C3ctxq1tqvaCgkFb8cCA/edit?usp=sharing"",""ยโสธร!M280"")"),29600)</f>
        <v>29600</v>
      </c>
      <c r="O385" s="170">
        <f t="shared" ca="1" si="109"/>
        <v>6.4328247924544701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IFERROR(__xludf.DUMMYFUNCTION("IMPORTRANGE(""https://docs.google.com/spreadsheets/d/1XL5vhW3sbDhbH9Cz0tuDiY8C3ctxq1tqvaCgkFb8cCA/edit?usp=sharing"",""ยโสธร!M281"")"),25600)</f>
        <v>25600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IFERROR(__xludf.DUMMYFUNCTION("IMPORTRANGE(""https://docs.google.com/spreadsheets/d/1XL5vhW3sbDhbH9Cz0tuDiY8C3ctxq1tqvaCgkFb8cCA/edit?usp=sharing"",""ยโสธร!M282"")"),0)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IFERROR(__xludf.DUMMYFUNCTION("IMPORTRANGE(""https://docs.google.com/spreadsheets/d/1XL5vhW3sbDhbH9Cz0tuDiY8C3ctxq1tqvaCgkFb8cCA/edit?usp=sharing"",""ยโสธร!M284"")"),4000)</f>
        <v>4000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IFERROR(__xludf.DUMMYFUNCTION("IMPORTRANGE(""https://docs.google.com/spreadsheets/d/1XL5vhW3sbDhbH9Cz0tuDiY8C3ctxq1tqvaCgkFb8cCA/edit?usp=sharing"",""ยโสธร!J286"")"),0)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IFERROR(__xludf.DUMMYFUNCTION("IMPORTRANGE(""https://docs.google.com/spreadsheets/d/1XL5vhW3sbDhbH9Cz0tuDiY8C3ctxq1tqvaCgkFb8cCA/edit?usp=sharing"",""ยโสธร!J287"")"),1)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IFERROR(__xludf.DUMMYFUNCTION("IMPORTRANGE(""https://docs.google.com/spreadsheets/d/1XL5vhW3sbDhbH9Cz0tuDiY8C3ctxq1tqvaCgkFb8cCA/edit?usp=sharing"",""ยโสธร!J288"")"),1)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IFERROR(__xludf.DUMMYFUNCTION("IMPORTRANGE(""https://docs.google.com/spreadsheets/d/1XL5vhW3sbDhbH9Cz0tuDiY8C3ctxq1tqvaCgkFb8cCA/edit?usp=sharing"",""ยโสธร!J289"")"),1)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IFERROR(__xludf.DUMMYFUNCTION("IMPORTRANGE(""https://docs.google.com/spreadsheets/d/1XL5vhW3sbDhbH9Cz0tuDiY8C3ctxq1tqvaCgkFb8cCA/edit?usp=sharing"",""ยโสธร!I291"")"),50)</f>
        <v>50</v>
      </c>
      <c r="J396" s="199">
        <f ca="1">IFERROR(__xludf.DUMMYFUNCTION("IMPORTRANGE(""https://docs.google.com/spreadsheets/d/1XL5vhW3sbDhbH9Cz0tuDiY8C3ctxq1tqvaCgkFb8cCA/edit?usp=sharing"",""ยโสธร!J291"")"),50)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IFERROR(__xludf.DUMMYFUNCTION("IMPORTRANGE(""https://docs.google.com/spreadsheets/d/1XL5vhW3sbDhbH9Cz0tuDiY8C3ctxq1tqvaCgkFb8cCA/edit?usp=sharing"",""ยโสธร!I292"")"),500)</f>
        <v>500</v>
      </c>
      <c r="J397" s="199">
        <f ca="1">IFERROR(__xludf.DUMMYFUNCTION("IMPORTRANGE(""https://docs.google.com/spreadsheets/d/1XL5vhW3sbDhbH9Cz0tuDiY8C3ctxq1tqvaCgkFb8cCA/edit?usp=sharing"",""ยโสธร!J292"")"),0)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IFERROR(__xludf.DUMMYFUNCTION("IMPORTRANGE(""https://docs.google.com/spreadsheets/d/1XL5vhW3sbDhbH9Cz0tuDiY8C3ctxq1tqvaCgkFb8cCA/edit?usp=sharing"",""ยโสธร!I293"")"),50)</f>
        <v>50</v>
      </c>
      <c r="J398" s="199">
        <f ca="1">IFERROR(__xludf.DUMMYFUNCTION("IMPORTRANGE(""https://docs.google.com/spreadsheets/d/1XL5vhW3sbDhbH9Cz0tuDiY8C3ctxq1tqvaCgkFb8cCA/edit?usp=sharing"",""ยโสธร!J293"")"),0)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IFERROR(__xludf.DUMMYFUNCTION("IMPORTRANGE(""https://docs.google.com/spreadsheets/d/1XL5vhW3sbDhbH9Cz0tuDiY8C3ctxq1tqvaCgkFb8cCA/edit?usp=sharing"",""ยโสธร!J294"")"),0)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IFERROR(__xludf.DUMMYFUNCTION("IMPORTRANGE(""https://docs.google.com/spreadsheets/d/1XL5vhW3sbDhbH9Cz0tuDiY8C3ctxq1tqvaCgkFb8cCA/edit?usp=sharing"",""ยโสธร!M296"")"),63590)</f>
        <v>63590</v>
      </c>
      <c r="O401" s="373">
        <f ca="1">+IF(L401&gt;0,N401*100/L401,0)</f>
        <v>32.915782390392877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IFERROR(__xludf.DUMMYFUNCTION("IMPORTRANGE(""https://docs.google.com/spreadsheets/d/1XL5vhW3sbDhbH9Cz0tuDiY8C3ctxq1tqvaCgkFb8cCA/edit?usp=sharing"",""ยโสธร!L298"")"),0)</f>
        <v>0</v>
      </c>
      <c r="M403" s="166"/>
      <c r="N403" s="170">
        <f ca="1">IFERROR(__xludf.DUMMYFUNCTION("IMPORTRANGE(""https://docs.google.com/spreadsheets/d/1XL5vhW3sbDhbH9Cz0tuDiY8C3ctxq1tqvaCgkFb8cCA/edit?usp=sharing"",""ยโสธร!M298"")"),0)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IFERROR(__xludf.DUMMYFUNCTION("IMPORTRANGE(""https://docs.google.com/spreadsheets/d/1XL5vhW3sbDhbH9Cz0tuDiY8C3ctxq1tqvaCgkFb8cCA/edit?usp=sharing"",""ยโสธร!L299"")"),193190)</f>
        <v>193190</v>
      </c>
      <c r="M404" s="167"/>
      <c r="N404" s="170">
        <f ca="1">IFERROR(__xludf.DUMMYFUNCTION("IMPORTRANGE(""https://docs.google.com/spreadsheets/d/1XL5vhW3sbDhbH9Cz0tuDiY8C3ctxq1tqvaCgkFb8cCA/edit?usp=sharing"",""ยโสธร!M299"")"),63590)</f>
        <v>63590</v>
      </c>
      <c r="O404" s="170">
        <f t="shared" ca="1" si="112"/>
        <v>32.915782390392877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IFERROR(__xludf.DUMMYFUNCTION("IMPORTRANGE(""https://docs.google.com/spreadsheets/d/1XL5vhW3sbDhbH9Cz0tuDiY8C3ctxq1tqvaCgkFb8cCA/edit?usp=sharing"",""ยโสธร!L300"")"),0)</f>
        <v>0</v>
      </c>
      <c r="M405" s="170"/>
      <c r="N405" s="170">
        <f ca="1">IFERROR(__xludf.DUMMYFUNCTION("IMPORTRANGE(""https://docs.google.com/spreadsheets/d/1XL5vhW3sbDhbH9Cz0tuDiY8C3ctxq1tqvaCgkFb8cCA/edit?usp=sharing"",""ยโสธร!M300"")"),0)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IFERROR(__xludf.DUMMYFUNCTION("IMPORTRANGE(""https://docs.google.com/spreadsheets/d/1XL5vhW3sbDhbH9Cz0tuDiY8C3ctxq1tqvaCgkFb8cCA/edit?usp=sharing"",""ยโสธร!L301"")"),193190)</f>
        <v>193190</v>
      </c>
      <c r="M406" s="170"/>
      <c r="N406" s="170">
        <f ca="1">IFERROR(__xludf.DUMMYFUNCTION("IMPORTRANGE(""https://docs.google.com/spreadsheets/d/1XL5vhW3sbDhbH9Cz0tuDiY8C3ctxq1tqvaCgkFb8cCA/edit?usp=sharing"",""ยโสธร!M301"")"),63590)</f>
        <v>63590</v>
      </c>
      <c r="O406" s="170">
        <f t="shared" ca="1" si="112"/>
        <v>32.915782390392877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IFERROR(__xludf.DUMMYFUNCTION("IMPORTRANGE(""https://docs.google.com/spreadsheets/d/1XL5vhW3sbDhbH9Cz0tuDiY8C3ctxq1tqvaCgkFb8cCA/edit?usp=sharing"",""ยโสธร!M302"")"),61080)</f>
        <v>61080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IFERROR(__xludf.DUMMYFUNCTION("IMPORTRANGE(""https://docs.google.com/spreadsheets/d/1XL5vhW3sbDhbH9Cz0tuDiY8C3ctxq1tqvaCgkFb8cCA/edit?usp=sharing"",""ยโสธร!M303"")"),0)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IFERROR(__xludf.DUMMYFUNCTION("IMPORTRANGE(""https://docs.google.com/spreadsheets/d/1XL5vhW3sbDhbH9Cz0tuDiY8C3ctxq1tqvaCgkFb8cCA/edit?usp=sharing"",""ยโสธร!M305"")"),2510)</f>
        <v>2510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IFERROR(__xludf.DUMMYFUNCTION("IMPORTRANGE(""https://docs.google.com/spreadsheets/d/1XL5vhW3sbDhbH9Cz0tuDiY8C3ctxq1tqvaCgkFb8cCA/edit?usp=sharing"",""ยโสธร!J307"")"),0)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IFERROR(__xludf.DUMMYFUNCTION("IMPORTRANGE(""https://docs.google.com/spreadsheets/d/1XL5vhW3sbDhbH9Cz0tuDiY8C3ctxq1tqvaCgkFb8cCA/edit?usp=sharing"",""ยโสธร!J308"")"),1)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IFERROR(__xludf.DUMMYFUNCTION("IMPORTRANGE(""https://docs.google.com/spreadsheets/d/1XL5vhW3sbDhbH9Cz0tuDiY8C3ctxq1tqvaCgkFb8cCA/edit?usp=sharing"",""ยโสธร!J309"")"),1)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IFERROR(__xludf.DUMMYFUNCTION("IMPORTRANGE(""https://docs.google.com/spreadsheets/d/1XL5vhW3sbDhbH9Cz0tuDiY8C3ctxq1tqvaCgkFb8cCA/edit?usp=sharing"",""ยโสธร!J310"")"),1)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IFERROR(__xludf.DUMMYFUNCTION("IMPORTRANGE(""https://docs.google.com/spreadsheets/d/1XL5vhW3sbDhbH9Cz0tuDiY8C3ctxq1tqvaCgkFb8cCA/edit?usp=sharing"",""ยโสธร!I311"")"),55)</f>
        <v>55</v>
      </c>
      <c r="J416" s="202">
        <f ca="1">IFERROR(__xludf.DUMMYFUNCTION("IMPORTRANGE(""https://docs.google.com/spreadsheets/d/1XL5vhW3sbDhbH9Cz0tuDiY8C3ctxq1tqvaCgkFb8cCA/edit?usp=sharing"",""ยโสธร!J311"")"),55)</f>
        <v>55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IFERROR(__xludf.DUMMYFUNCTION("IMPORTRANGE(""https://docs.google.com/spreadsheets/d/1XL5vhW3sbDhbH9Cz0tuDiY8C3ctxq1tqvaCgkFb8cCA/edit?usp=sharing"",""ยโสธร!J328"")"),0)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IFERROR(__xludf.DUMMYFUNCTION("IMPORTRANGE(""https://docs.google.com/spreadsheets/d/1XL5vhW3sbDhbH9Cz0tuDiY8C3ctxq1tqvaCgkFb8cCA/edit?usp=sharing"",""ยโสธร!M330"")"),55300)</f>
        <v>55300</v>
      </c>
      <c r="O435" s="412">
        <f t="shared" ref="O435:O439" ca="1" si="114">+IF(L435&gt;0,N435*100/L435,0)</f>
        <v>52.169811320754718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IFERROR(__xludf.DUMMYFUNCTION("IMPORTRANGE(""https://docs.google.com/spreadsheets/d/1XL5vhW3sbDhbH9Cz0tuDiY8C3ctxq1tqvaCgkFb8cCA/edit?usp=sharing"",""ยโสธร!L331"")"),0)</f>
        <v>0</v>
      </c>
      <c r="M436" s="166"/>
      <c r="N436" s="170">
        <f ca="1">IFERROR(__xludf.DUMMYFUNCTION("IMPORTRANGE(""https://docs.google.com/spreadsheets/d/1XL5vhW3sbDhbH9Cz0tuDiY8C3ctxq1tqvaCgkFb8cCA/edit?usp=sharing"",""ยโสธร!M331"")"),0)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IFERROR(__xludf.DUMMYFUNCTION("IMPORTRANGE(""https://docs.google.com/spreadsheets/d/1XL5vhW3sbDhbH9Cz0tuDiY8C3ctxq1tqvaCgkFb8cCA/edit?usp=sharing"",""ยโสธร!L332"")"),106000)</f>
        <v>106000</v>
      </c>
      <c r="M437" s="167"/>
      <c r="N437" s="170">
        <f ca="1">IFERROR(__xludf.DUMMYFUNCTION("IMPORTRANGE(""https://docs.google.com/spreadsheets/d/1XL5vhW3sbDhbH9Cz0tuDiY8C3ctxq1tqvaCgkFb8cCA/edit?usp=sharing"",""ยโสธร!M332"")"),55300)</f>
        <v>55300</v>
      </c>
      <c r="O437" s="170">
        <f t="shared" ca="1" si="114"/>
        <v>52.169811320754718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IFERROR(__xludf.DUMMYFUNCTION("IMPORTRANGE(""https://docs.google.com/spreadsheets/d/1XL5vhW3sbDhbH9Cz0tuDiY8C3ctxq1tqvaCgkFb8cCA/edit?usp=sharing"",""ยโสธร!L333"")"),0)</f>
        <v>0</v>
      </c>
      <c r="M438" s="170"/>
      <c r="N438" s="170">
        <f ca="1">IFERROR(__xludf.DUMMYFUNCTION("IMPORTRANGE(""https://docs.google.com/spreadsheets/d/1XL5vhW3sbDhbH9Cz0tuDiY8C3ctxq1tqvaCgkFb8cCA/edit?usp=sharing"",""ยโสธร!M333"")"),0)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IFERROR(__xludf.DUMMYFUNCTION("IMPORTRANGE(""https://docs.google.com/spreadsheets/d/1XL5vhW3sbDhbH9Cz0tuDiY8C3ctxq1tqvaCgkFb8cCA/edit?usp=sharing"",""ยโสธร!L334"")"),106000)</f>
        <v>106000</v>
      </c>
      <c r="M439" s="170"/>
      <c r="N439" s="170">
        <f ca="1">IFERROR(__xludf.DUMMYFUNCTION("IMPORTRANGE(""https://docs.google.com/spreadsheets/d/1XL5vhW3sbDhbH9Cz0tuDiY8C3ctxq1tqvaCgkFb8cCA/edit?usp=sharing"",""ยโสธร!M334"")"),55300)</f>
        <v>55300</v>
      </c>
      <c r="O439" s="170">
        <f t="shared" ca="1" si="114"/>
        <v>52.169811320754718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IFERROR(__xludf.DUMMYFUNCTION("IMPORTRANGE(""https://docs.google.com/spreadsheets/d/1XL5vhW3sbDhbH9Cz0tuDiY8C3ctxq1tqvaCgkFb8cCA/edit?usp=sharing"",""ยโสธร!M335"")"),52880)</f>
        <v>52880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IFERROR(__xludf.DUMMYFUNCTION("IMPORTRANGE(""https://docs.google.com/spreadsheets/d/1XL5vhW3sbDhbH9Cz0tuDiY8C3ctxq1tqvaCgkFb8cCA/edit?usp=sharing"",""ยโสธร!M338"")"),2420)</f>
        <v>2420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IFERROR(__xludf.DUMMYFUNCTION("IMPORTRANGE(""https://docs.google.com/spreadsheets/d/1XL5vhW3sbDhbH9Cz0tuDiY8C3ctxq1tqvaCgkFb8cCA/edit?usp=sharing"",""ยโสธร!J342"")"),1)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IFERROR(__xludf.DUMMYFUNCTION("IMPORTRANGE(""https://docs.google.com/spreadsheets/d/1XL5vhW3sbDhbH9Cz0tuDiY8C3ctxq1tqvaCgkFb8cCA/edit?usp=sharing"",""ยโสธร!J343"")"),1)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2">
        <f ca="1">IFERROR(__xludf.DUMMYFUNCTION("IMPORTRANGE(""https://docs.google.com/spreadsheets/d/1XL5vhW3sbDhbH9Cz0tuDiY8C3ctxq1tqvaCgkFb8cCA/edit?usp=sharing"",""ยโสธร!J344"")"),15)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IFERROR(__xludf.DUMMYFUNCTION("IMPORTRANGE(""https://docs.google.com/spreadsheets/d/1XL5vhW3sbDhbH9Cz0tuDiY8C3ctxq1tqvaCgkFb8cCA/edit?usp=sharing"",""ยโสธร!I345"")"),15)</f>
        <v>15</v>
      </c>
      <c r="J450" s="190">
        <f ca="1">IFERROR(__xludf.DUMMYFUNCTION("IMPORTRANGE(""https://docs.google.com/spreadsheets/d/1XL5vhW3sbDhbH9Cz0tuDiY8C3ctxq1tqvaCgkFb8cCA/edit?usp=sharing"",""ยโสธร!J345"")"),15)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IFERROR(__xludf.DUMMYFUNCTION("IMPORTRANGE(""https://docs.google.com/spreadsheets/d/1XL5vhW3sbDhbH9Cz0tuDiY8C3ctxq1tqvaCgkFb8cCA/edit?usp=sharing"",""ยโสธร!I346"")"),0)</f>
        <v>0</v>
      </c>
      <c r="J451" s="189">
        <f ca="1">IFERROR(__xludf.DUMMYFUNCTION("IMPORTRANGE(""https://docs.google.com/spreadsheets/d/1XL5vhW3sbDhbH9Cz0tuDiY8C3ctxq1tqvaCgkFb8cCA/edit?usp=sharing"",""ยโสธร!J346"")"),0)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IFERROR(__xludf.DUMMYFUNCTION("IMPORTRANGE(""https://docs.google.com/spreadsheets/d/1XL5vhW3sbDhbH9Cz0tuDiY8C3ctxq1tqvaCgkFb8cCA/edit?usp=sharing"",""ยโสธร!I347"")"),0)</f>
        <v>0</v>
      </c>
      <c r="J452" s="189">
        <f ca="1">IFERROR(__xludf.DUMMYFUNCTION("IMPORTRANGE(""https://docs.google.com/spreadsheets/d/1XL5vhW3sbDhbH9Cz0tuDiY8C3ctxq1tqvaCgkFb8cCA/edit?usp=sharing"",""ยโสธร!J347"")"),0)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IFERROR(__xludf.DUMMYFUNCTION("IMPORTRANGE(""https://docs.google.com/spreadsheets/d/1XL5vhW3sbDhbH9Cz0tuDiY8C3ctxq1tqvaCgkFb8cCA/edit?usp=sharing"",""ยโสธร!J348"")"),0)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IFERROR(__xludf.DUMMYFUNCTION("IMPORTRANGE(""https://docs.google.com/spreadsheets/d/1XL5vhW3sbDhbH9Cz0tuDiY8C3ctxq1tqvaCgkFb8cCA/edit?usp=sharing"",""ยโสธร!I350"")"),46348)</f>
        <v>46348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IFERROR(__xludf.DUMMYFUNCTION("IMPORTRANGE(""https://docs.google.com/spreadsheets/d/1XL5vhW3sbDhbH9Cz0tuDiY8C3ctxq1tqvaCgkFb8cCA/edit?usp=sharing"",""ยโสธร!L350"")"),452063)</f>
        <v>452063</v>
      </c>
      <c r="M455" s="373"/>
      <c r="N455" s="373">
        <f ca="1">IFERROR(__xludf.DUMMYFUNCTION("IMPORTRANGE(""https://docs.google.com/spreadsheets/d/1XL5vhW3sbDhbH9Cz0tuDiY8C3ctxq1tqvaCgkFb8cCA/edit?usp=sharing"",""ยโสธร!M350"")"),78043)</f>
        <v>78043</v>
      </c>
      <c r="O455" s="373">
        <f t="shared" ref="O455:O459" ca="1" si="116">+IF(L455&gt;0,N455*100/L455,0)</f>
        <v>17.263744212642926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IFERROR(__xludf.DUMMYFUNCTION("IMPORTRANGE(""https://docs.google.com/spreadsheets/d/1XL5vhW3sbDhbH9Cz0tuDiY8C3ctxq1tqvaCgkFb8cCA/edit?usp=sharing"",""ยโสธร!L351"")"),0)</f>
        <v>0</v>
      </c>
      <c r="M456" s="166"/>
      <c r="N456" s="170">
        <f ca="1">IFERROR(__xludf.DUMMYFUNCTION("IMPORTRANGE(""https://docs.google.com/spreadsheets/d/1XL5vhW3sbDhbH9Cz0tuDiY8C3ctxq1tqvaCgkFb8cCA/edit?usp=sharing"",""ยโสธร!M351"")"),0)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IFERROR(__xludf.DUMMYFUNCTION("IMPORTRANGE(""https://docs.google.com/spreadsheets/d/1XL5vhW3sbDhbH9Cz0tuDiY8C3ctxq1tqvaCgkFb8cCA/edit?usp=sharing"",""ยโสธร!L352"")"),452063)</f>
        <v>452063</v>
      </c>
      <c r="M457" s="167"/>
      <c r="N457" s="170">
        <f ca="1">IFERROR(__xludf.DUMMYFUNCTION("IMPORTRANGE(""https://docs.google.com/spreadsheets/d/1XL5vhW3sbDhbH9Cz0tuDiY8C3ctxq1tqvaCgkFb8cCA/edit?usp=sharing"",""ยโสธร!M352"")"),78043)</f>
        <v>78043</v>
      </c>
      <c r="O457" s="170">
        <f t="shared" ca="1" si="116"/>
        <v>17.263744212642926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IFERROR(__xludf.DUMMYFUNCTION("IMPORTRANGE(""https://docs.google.com/spreadsheets/d/1XL5vhW3sbDhbH9Cz0tuDiY8C3ctxq1tqvaCgkFb8cCA/edit?usp=sharing"",""ยโสธร!L353"")"),0)</f>
        <v>0</v>
      </c>
      <c r="M458" s="170"/>
      <c r="N458" s="170">
        <f ca="1">IFERROR(__xludf.DUMMYFUNCTION("IMPORTRANGE(""https://docs.google.com/spreadsheets/d/1XL5vhW3sbDhbH9Cz0tuDiY8C3ctxq1tqvaCgkFb8cCA/edit?usp=sharing"",""ยโสธร!M353"")"),0)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IFERROR(__xludf.DUMMYFUNCTION("IMPORTRANGE(""https://docs.google.com/spreadsheets/d/1XL5vhW3sbDhbH9Cz0tuDiY8C3ctxq1tqvaCgkFb8cCA/edit?usp=sharing"",""ยโสธร!L354"")"),452063)</f>
        <v>452063</v>
      </c>
      <c r="M459" s="170"/>
      <c r="N459" s="170">
        <f ca="1">IFERROR(__xludf.DUMMYFUNCTION("IMPORTRANGE(""https://docs.google.com/spreadsheets/d/1XL5vhW3sbDhbH9Cz0tuDiY8C3ctxq1tqvaCgkFb8cCA/edit?usp=sharing"",""ยโสธร!M354"")"),78043)</f>
        <v>78043</v>
      </c>
      <c r="O459" s="170">
        <f t="shared" ca="1" si="116"/>
        <v>17.263744212642926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IFERROR(__xludf.DUMMYFUNCTION("IMPORTRANGE(""https://docs.google.com/spreadsheets/d/1XL5vhW3sbDhbH9Cz0tuDiY8C3ctxq1tqvaCgkFb8cCA/edit?usp=sharing"",""ยโสธร!M355"")"),0)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IFERROR(__xludf.DUMMYFUNCTION("IMPORTRANGE(""https://docs.google.com/spreadsheets/d/1XL5vhW3sbDhbH9Cz0tuDiY8C3ctxq1tqvaCgkFb8cCA/edit?usp=sharing"",""ยโสธร!M356"")"),0)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IFERROR(__xludf.DUMMYFUNCTION("IMPORTRANGE(""https://docs.google.com/spreadsheets/d/1XL5vhW3sbDhbH9Cz0tuDiY8C3ctxq1tqvaCgkFb8cCA/edit?usp=sharing"",""ยโสธร!M357"")"),42533)</f>
        <v>42533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IFERROR(__xludf.DUMMYFUNCTION("IMPORTRANGE(""https://docs.google.com/spreadsheets/d/1XL5vhW3sbDhbH9Cz0tuDiY8C3ctxq1tqvaCgkFb8cCA/edit?usp=sharing"",""ยโสธร!M358"")"),35510)</f>
        <v>35510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IFERROR(__xludf.DUMMYFUNCTION("IMPORTRANGE(""https://docs.google.com/spreadsheets/d/1XL5vhW3sbDhbH9Cz0tuDiY8C3ctxq1tqvaCgkFb8cCA/edit?usp=sharing"",""ยโสธร!I359"")"),46348)</f>
        <v>46348</v>
      </c>
      <c r="J464" s="268">
        <f ca="1">IFERROR(__xludf.DUMMYFUNCTION("IMPORTRANGE(""https://docs.google.com/spreadsheets/d/1XL5vhW3sbDhbH9Cz0tuDiY8C3ctxq1tqvaCgkFb8cCA/edit?usp=sharing"",""ยโสธร!J359"")"),0)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IFERROR(__xludf.DUMMYFUNCTION("IMPORTRANGE(""https://docs.google.com/spreadsheets/d/1XL5vhW3sbDhbH9Cz0tuDiY8C3ctxq1tqvaCgkFb8cCA/edit?usp=sharing"",""ยโสธร!I360"")"),46348)</f>
        <v>46348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3">
        <f t="shared" ca="1" si="117"/>
        <v>99.9546906015362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IFERROR(__xludf.DUMMYFUNCTION("IMPORTRANGE(""https://docs.google.com/spreadsheets/d/1XL5vhW3sbDhbH9Cz0tuDiY8C3ctxq1tqvaCgkFb8cCA/edit?usp=sharing"",""ยโสธร!I362"")"),0)</f>
        <v>0</v>
      </c>
      <c r="J467" s="190">
        <f ca="1">IFERROR(__xludf.DUMMYFUNCTION("IMPORTRANGE(""https://docs.google.com/spreadsheets/d/1XL5vhW3sbDhbH9Cz0tuDiY8C3ctxq1tqvaCgkFb8cCA/edit?usp=sharing"",""ยโสธร!J362"")"),34786)</f>
        <v>34786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IFERROR(__xludf.DUMMYFUNCTION("IMPORTRANGE(""https://docs.google.com/spreadsheets/d/1XL5vhW3sbDhbH9Cz0tuDiY8C3ctxq1tqvaCgkFb8cCA/edit?usp=sharing"",""ยโสธร!I363"")"),0)</f>
        <v>0</v>
      </c>
      <c r="J468" s="190">
        <f ca="1">IFERROR(__xludf.DUMMYFUNCTION("IMPORTRANGE(""https://docs.google.com/spreadsheets/d/1XL5vhW3sbDhbH9Cz0tuDiY8C3ctxq1tqvaCgkFb8cCA/edit?usp=sharing"",""ยโสธร!J363"")"),3976)</f>
        <v>3976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IFERROR(__xludf.DUMMYFUNCTION("IMPORTRANGE(""https://docs.google.com/spreadsheets/d/1XL5vhW3sbDhbH9Cz0tuDiY8C3ctxq1tqvaCgkFb8cCA/edit?usp=sharing"",""ยโสธร!I364"")"),0)</f>
        <v>0</v>
      </c>
      <c r="J469" s="190">
        <f ca="1">IFERROR(__xludf.DUMMYFUNCTION("IMPORTRANGE(""https://docs.google.com/spreadsheets/d/1XL5vhW3sbDhbH9Cz0tuDiY8C3ctxq1tqvaCgkFb8cCA/edit?usp=sharing"",""ยโสธร!J364"")"),10837)</f>
        <v>10837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IFERROR(__xludf.DUMMYFUNCTION("IMPORTRANGE(""https://docs.google.com/spreadsheets/d/1XL5vhW3sbDhbH9Cz0tuDiY8C3ctxq1tqvaCgkFb8cCA/edit?usp=sharing"",""ยโสธร!I365"")"),0)</f>
        <v>0</v>
      </c>
      <c r="J470" s="190">
        <f ca="1">IFERROR(__xludf.DUMMYFUNCTION("IMPORTRANGE(""https://docs.google.com/spreadsheets/d/1XL5vhW3sbDhbH9Cz0tuDiY8C3ctxq1tqvaCgkFb8cCA/edit?usp=sharing"",""ยโสธร!J365"")"),820)</f>
        <v>820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IFERROR(__xludf.DUMMYFUNCTION("IMPORTRANGE(""https://docs.google.com/spreadsheets/d/1XL5vhW3sbDhbH9Cz0tuDiY8C3ctxq1tqvaCgkFb8cCA/edit?usp=sharing"",""ยโสธร!I366"")"),0)</f>
        <v>0</v>
      </c>
      <c r="J471" s="190">
        <f ca="1">IFERROR(__xludf.DUMMYFUNCTION("IMPORTRANGE(""https://docs.google.com/spreadsheets/d/1XL5vhW3sbDhbH9Cz0tuDiY8C3ctxq1tqvaCgkFb8cCA/edit?usp=sharing"",""ยโสธร!J366"")"),704)</f>
        <v>704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IFERROR(__xludf.DUMMYFUNCTION("IMPORTRANGE(""https://docs.google.com/spreadsheets/d/1XL5vhW3sbDhbH9Cz0tuDiY8C3ctxq1tqvaCgkFb8cCA/edit?usp=sharing"",""ยโสธร!I367"")"),0)</f>
        <v>0</v>
      </c>
      <c r="J472" s="190">
        <f ca="1">IFERROR(__xludf.DUMMYFUNCTION("IMPORTRANGE(""https://docs.google.com/spreadsheets/d/1XL5vhW3sbDhbH9Cz0tuDiY8C3ctxq1tqvaCgkFb8cCA/edit?usp=sharing"",""ยโสธร!J367"")"),62)</f>
        <v>62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IFERROR(__xludf.DUMMYFUNCTION("IMPORTRANGE(""https://docs.google.com/spreadsheets/d/1XL5vhW3sbDhbH9Cz0tuDiY8C3ctxq1tqvaCgkFb8cCA/edit?usp=sharing"",""ยโสธร!I368"")"),46348)</f>
        <v>46348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3">
        <f t="shared" ca="1" si="117"/>
        <v>99.9546906015362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IFERROR(__xludf.DUMMYFUNCTION("IMPORTRANGE(""https://docs.google.com/spreadsheets/d/1XL5vhW3sbDhbH9Cz0tuDiY8C3ctxq1tqvaCgkFb8cCA/edit?usp=sharing"",""ยโสธร!I370"")"),0)</f>
        <v>0</v>
      </c>
      <c r="J475" s="190">
        <f ca="1">IFERROR(__xludf.DUMMYFUNCTION("IMPORTRANGE(""https://docs.google.com/spreadsheets/d/1XL5vhW3sbDhbH9Cz0tuDiY8C3ctxq1tqvaCgkFb8cCA/edit?usp=sharing"",""ยโสธร!J370"")"),44435)</f>
        <v>44435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IFERROR(__xludf.DUMMYFUNCTION("IMPORTRANGE(""https://docs.google.com/spreadsheets/d/1XL5vhW3sbDhbH9Cz0tuDiY8C3ctxq1tqvaCgkFb8cCA/edit?usp=sharing"",""ยโสธร!I371"")"),0)</f>
        <v>0</v>
      </c>
      <c r="J476" s="190">
        <f ca="1">IFERROR(__xludf.DUMMYFUNCTION("IMPORTRANGE(""https://docs.google.com/spreadsheets/d/1XL5vhW3sbDhbH9Cz0tuDiY8C3ctxq1tqvaCgkFb8cCA/edit?usp=sharing"",""ยโสธร!J371"")"),4709)</f>
        <v>4709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IFERROR(__xludf.DUMMYFUNCTION("IMPORTRANGE(""https://docs.google.com/spreadsheets/d/1XL5vhW3sbDhbH9Cz0tuDiY8C3ctxq1tqvaCgkFb8cCA/edit?usp=sharing"",""ยโสธร!I372"")"),0)</f>
        <v>0</v>
      </c>
      <c r="J477" s="190">
        <f ca="1">IFERROR(__xludf.DUMMYFUNCTION("IMPORTRANGE(""https://docs.google.com/spreadsheets/d/1XL5vhW3sbDhbH9Cz0tuDiY8C3ctxq1tqvaCgkFb8cCA/edit?usp=sharing"",""ยโสธร!J372"")"),1183)</f>
        <v>1183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IFERROR(__xludf.DUMMYFUNCTION("IMPORTRANGE(""https://docs.google.com/spreadsheets/d/1XL5vhW3sbDhbH9Cz0tuDiY8C3ctxq1tqvaCgkFb8cCA/edit?usp=sharing"",""ยโสธร!I373"")"),0)</f>
        <v>0</v>
      </c>
      <c r="J478" s="190">
        <f ca="1">IFERROR(__xludf.DUMMYFUNCTION("IMPORTRANGE(""https://docs.google.com/spreadsheets/d/1XL5vhW3sbDhbH9Cz0tuDiY8C3ctxq1tqvaCgkFb8cCA/edit?usp=sharing"",""ยโสธร!J373"")"),86)</f>
        <v>86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IFERROR(__xludf.DUMMYFUNCTION("IMPORTRANGE(""https://docs.google.com/spreadsheets/d/1XL5vhW3sbDhbH9Cz0tuDiY8C3ctxq1tqvaCgkFb8cCA/edit?usp=sharing"",""ยโสธร!I374"")"),0)</f>
        <v>0</v>
      </c>
      <c r="J479" s="190">
        <f ca="1">IFERROR(__xludf.DUMMYFUNCTION("IMPORTRANGE(""https://docs.google.com/spreadsheets/d/1XL5vhW3sbDhbH9Cz0tuDiY8C3ctxq1tqvaCgkFb8cCA/edit?usp=sharing"",""ยโสธร!J374"")"),709)</f>
        <v>709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IFERROR(__xludf.DUMMYFUNCTION("IMPORTRANGE(""https://docs.google.com/spreadsheets/d/1XL5vhW3sbDhbH9Cz0tuDiY8C3ctxq1tqvaCgkFb8cCA/edit?usp=sharing"",""ยโสธร!I375"")"),0)</f>
        <v>0</v>
      </c>
      <c r="J480" s="190">
        <f ca="1">IFERROR(__xludf.DUMMYFUNCTION("IMPORTRANGE(""https://docs.google.com/spreadsheets/d/1XL5vhW3sbDhbH9Cz0tuDiY8C3ctxq1tqvaCgkFb8cCA/edit?usp=sharing"",""ยโสธร!J375"")"),63)</f>
        <v>63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IFERROR(__xludf.DUMMYFUNCTION("IMPORTRANGE(""https://docs.google.com/spreadsheets/d/1XL5vhW3sbDhbH9Cz0tuDiY8C3ctxq1tqvaCgkFb8cCA/edit?usp=sharing"",""ยโสธร!I376"")"),46348)</f>
        <v>46348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IFERROR(__xludf.DUMMYFUNCTION("IMPORTRANGE(""https://docs.google.com/spreadsheets/d/1XL5vhW3sbDhbH9Cz0tuDiY8C3ctxq1tqvaCgkFb8cCA/edit?usp=sharing"",""ยโสธร!I378"")"),0)</f>
        <v>0</v>
      </c>
      <c r="J483" s="190">
        <f ca="1">IFERROR(__xludf.DUMMYFUNCTION("IMPORTRANGE(""https://docs.google.com/spreadsheets/d/1XL5vhW3sbDhbH9Cz0tuDiY8C3ctxq1tqvaCgkFb8cCA/edit?usp=sharing"",""ยโสธร!J378"")"),0)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IFERROR(__xludf.DUMMYFUNCTION("IMPORTRANGE(""https://docs.google.com/spreadsheets/d/1XL5vhW3sbDhbH9Cz0tuDiY8C3ctxq1tqvaCgkFb8cCA/edit?usp=sharing"",""ยโสธร!I379"")"),0)</f>
        <v>0</v>
      </c>
      <c r="J484" s="190">
        <f ca="1">IFERROR(__xludf.DUMMYFUNCTION("IMPORTRANGE(""https://docs.google.com/spreadsheets/d/1XL5vhW3sbDhbH9Cz0tuDiY8C3ctxq1tqvaCgkFb8cCA/edit?usp=sharing"",""ยโสธร!J379"")"),0)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IFERROR(__xludf.DUMMYFUNCTION("IMPORTRANGE(""https://docs.google.com/spreadsheets/d/1XL5vhW3sbDhbH9Cz0tuDiY8C3ctxq1tqvaCgkFb8cCA/edit?usp=sharing"",""ยโสธร!I380"")"),0)</f>
        <v>0</v>
      </c>
      <c r="J485" s="190">
        <f ca="1">IFERROR(__xludf.DUMMYFUNCTION("IMPORTRANGE(""https://docs.google.com/spreadsheets/d/1XL5vhW3sbDhbH9Cz0tuDiY8C3ctxq1tqvaCgkFb8cCA/edit?usp=sharing"",""ยโสธร!J380"")"),0)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IFERROR(__xludf.DUMMYFUNCTION("IMPORTRANGE(""https://docs.google.com/spreadsheets/d/1XL5vhW3sbDhbH9Cz0tuDiY8C3ctxq1tqvaCgkFb8cCA/edit?usp=sharing"",""ยโสธร!I381"")"),0)</f>
        <v>0</v>
      </c>
      <c r="J486" s="190">
        <f ca="1">IFERROR(__xludf.DUMMYFUNCTION("IMPORTRANGE(""https://docs.google.com/spreadsheets/d/1XL5vhW3sbDhbH9Cz0tuDiY8C3ctxq1tqvaCgkFb8cCA/edit?usp=sharing"",""ยโสธร!J381"")"),0)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IFERROR(__xludf.DUMMYFUNCTION("IMPORTRANGE(""https://docs.google.com/spreadsheets/d/1XL5vhW3sbDhbH9Cz0tuDiY8C3ctxq1tqvaCgkFb8cCA/edit?usp=sharing"",""ยโสธร!I384"")"),0)</f>
        <v>0</v>
      </c>
      <c r="J489" s="190">
        <f ca="1">IFERROR(__xludf.DUMMYFUNCTION("IMPORTRANGE(""https://docs.google.com/spreadsheets/d/1XL5vhW3sbDhbH9Cz0tuDiY8C3ctxq1tqvaCgkFb8cCA/edit?usp=sharing"",""ยโสธร!J384"")"),0)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IFERROR(__xludf.DUMMYFUNCTION("IMPORTRANGE(""https://docs.google.com/spreadsheets/d/1XL5vhW3sbDhbH9Cz0tuDiY8C3ctxq1tqvaCgkFb8cCA/edit?usp=sharing"",""ยโสธร!I385"")"),0)</f>
        <v>0</v>
      </c>
      <c r="J490" s="190">
        <f ca="1">IFERROR(__xludf.DUMMYFUNCTION("IMPORTRANGE(""https://docs.google.com/spreadsheets/d/1XL5vhW3sbDhbH9Cz0tuDiY8C3ctxq1tqvaCgkFb8cCA/edit?usp=sharing"",""ยโสธร!J385"")"),0)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IFERROR(__xludf.DUMMYFUNCTION("IMPORTRANGE(""https://docs.google.com/spreadsheets/d/1XL5vhW3sbDhbH9Cz0tuDiY8C3ctxq1tqvaCgkFb8cCA/edit?usp=sharing"",""ยโสธร!I386"")"),0)</f>
        <v>0</v>
      </c>
      <c r="J491" s="190">
        <f ca="1">IFERROR(__xludf.DUMMYFUNCTION("IMPORTRANGE(""https://docs.google.com/spreadsheets/d/1XL5vhW3sbDhbH9Cz0tuDiY8C3ctxq1tqvaCgkFb8cCA/edit?usp=sharing"",""ยโสธร!J386"")"),0)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IFERROR(__xludf.DUMMYFUNCTION("IMPORTRANGE(""https://docs.google.com/spreadsheets/d/1XL5vhW3sbDhbH9Cz0tuDiY8C3ctxq1tqvaCgkFb8cCA/edit?usp=sharing"",""ยโสธร!I387"")"),0)</f>
        <v>0</v>
      </c>
      <c r="J492" s="190">
        <f ca="1">IFERROR(__xludf.DUMMYFUNCTION("IMPORTRANGE(""https://docs.google.com/spreadsheets/d/1XL5vhW3sbDhbH9Cz0tuDiY8C3ctxq1tqvaCgkFb8cCA/edit?usp=sharing"",""ยโสธร!J387"")"),0)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IFERROR(__xludf.DUMMYFUNCTION("IMPORTRANGE(""https://docs.google.com/spreadsheets/d/1XL5vhW3sbDhbH9Cz0tuDiY8C3ctxq1tqvaCgkFb8cCA/edit?usp=sharing"",""ยโสธร!I388"")"),0)</f>
        <v>0</v>
      </c>
      <c r="J493" s="190">
        <f ca="1">IFERROR(__xludf.DUMMYFUNCTION("IMPORTRANGE(""https://docs.google.com/spreadsheets/d/1XL5vhW3sbDhbH9Cz0tuDiY8C3ctxq1tqvaCgkFb8cCA/edit?usp=sharing"",""ยโสธร!J388"")"),0)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IFERROR(__xludf.DUMMYFUNCTION("IMPORTRANGE(""https://docs.google.com/spreadsheets/d/1XL5vhW3sbDhbH9Cz0tuDiY8C3ctxq1tqvaCgkFb8cCA/edit?usp=sharing"",""ยโสธร!I395"")"),0)</f>
        <v>0</v>
      </c>
      <c r="J500" s="164">
        <f ca="1">IFERROR(__xludf.DUMMYFUNCTION("IMPORTRANGE(""https://docs.google.com/spreadsheets/d/1XL5vhW3sbDhbH9Cz0tuDiY8C3ctxq1tqvaCgkFb8cCA/edit?usp=sharing"",""ยโสธร!J395"")"),0)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IFERROR(__xludf.DUMMYFUNCTION("IMPORTRANGE(""https://docs.google.com/spreadsheets/d/1XL5vhW3sbDhbH9Cz0tuDiY8C3ctxq1tqvaCgkFb8cCA/edit?usp=sharing"",""ยโสธร!I396"")"),0)</f>
        <v>0</v>
      </c>
      <c r="J501" s="164">
        <f ca="1">IFERROR(__xludf.DUMMYFUNCTION("IMPORTRANGE(""https://docs.google.com/spreadsheets/d/1XL5vhW3sbDhbH9Cz0tuDiY8C3ctxq1tqvaCgkFb8cCA/edit?usp=sharing"",""ยโสธร!J396"")"),0)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IFERROR(__xludf.DUMMYFUNCTION("IMPORTRANGE(""https://docs.google.com/spreadsheets/d/1XL5vhW3sbDhbH9Cz0tuDiY8C3ctxq1tqvaCgkFb8cCA/edit?usp=sharing"",""ยโสธร!I397"")"),0)</f>
        <v>0</v>
      </c>
      <c r="J502" s="190">
        <f ca="1">IFERROR(__xludf.DUMMYFUNCTION("IMPORTRANGE(""https://docs.google.com/spreadsheets/d/1XL5vhW3sbDhbH9Cz0tuDiY8C3ctxq1tqvaCgkFb8cCA/edit?usp=sharing"",""ยโสธร!J397"")"),0)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IFERROR(__xludf.DUMMYFUNCTION("IMPORTRANGE(""https://docs.google.com/spreadsheets/d/1XL5vhW3sbDhbH9Cz0tuDiY8C3ctxq1tqvaCgkFb8cCA/edit?usp=sharing"",""ยโสธร!I398"")"),0)</f>
        <v>0</v>
      </c>
      <c r="J503" s="199">
        <f ca="1">IFERROR(__xludf.DUMMYFUNCTION("IMPORTRANGE(""https://docs.google.com/spreadsheets/d/1XL5vhW3sbDhbH9Cz0tuDiY8C3ctxq1tqvaCgkFb8cCA/edit?usp=sharing"",""ยโสธร!J398"")"),0)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IFERROR(__xludf.DUMMYFUNCTION("IMPORTRANGE(""https://docs.google.com/spreadsheets/d/1XL5vhW3sbDhbH9Cz0tuDiY8C3ctxq1tqvaCgkFb8cCA/edit?usp=sharing"",""ยโสธร!I399"")"),0)</f>
        <v>0</v>
      </c>
      <c r="J504" s="190">
        <f ca="1">IFERROR(__xludf.DUMMYFUNCTION("IMPORTRANGE(""https://docs.google.com/spreadsheets/d/1XL5vhW3sbDhbH9Cz0tuDiY8C3ctxq1tqvaCgkFb8cCA/edit?usp=sharing"",""ยโสธร!J399"")"),0)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IFERROR(__xludf.DUMMYFUNCTION("IMPORTRANGE(""https://docs.google.com/spreadsheets/d/1XL5vhW3sbDhbH9Cz0tuDiY8C3ctxq1tqvaCgkFb8cCA/edit?usp=sharing"",""ยโสธร!I400"")"),0)</f>
        <v>0</v>
      </c>
      <c r="J505" s="199">
        <f ca="1">IFERROR(__xludf.DUMMYFUNCTION("IMPORTRANGE(""https://docs.google.com/spreadsheets/d/1XL5vhW3sbDhbH9Cz0tuDiY8C3ctxq1tqvaCgkFb8cCA/edit?usp=sharing"",""ยโสธร!J400"")"),0)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IFERROR(__xludf.DUMMYFUNCTION("IMPORTRANGE(""https://docs.google.com/spreadsheets/d/1XL5vhW3sbDhbH9Cz0tuDiY8C3ctxq1tqvaCgkFb8cCA/edit?usp=sharing"",""ยโสธร!I401"")"),0)</f>
        <v>0</v>
      </c>
      <c r="J506" s="190">
        <f ca="1">IFERROR(__xludf.DUMMYFUNCTION("IMPORTRANGE(""https://docs.google.com/spreadsheets/d/1XL5vhW3sbDhbH9Cz0tuDiY8C3ctxq1tqvaCgkFb8cCA/edit?usp=sharing"",""ยโสธร!J401"")"),0)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IFERROR(__xludf.DUMMYFUNCTION("IMPORTRANGE(""https://docs.google.com/spreadsheets/d/1XL5vhW3sbDhbH9Cz0tuDiY8C3ctxq1tqvaCgkFb8cCA/edit?usp=sharing"",""ยโสธร!I402"")"),0)</f>
        <v>0</v>
      </c>
      <c r="J507" s="199">
        <f ca="1">IFERROR(__xludf.DUMMYFUNCTION("IMPORTRANGE(""https://docs.google.com/spreadsheets/d/1XL5vhW3sbDhbH9Cz0tuDiY8C3ctxq1tqvaCgkFb8cCA/edit?usp=sharing"",""ยโสธร!J402"")"),0)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IFERROR(__xludf.DUMMYFUNCTION("IMPORTRANGE(""https://docs.google.com/spreadsheets/d/1XL5vhW3sbDhbH9Cz0tuDiY8C3ctxq1tqvaCgkFb8cCA/edit?usp=sharing"",""ยโสธร!I403"")"),0)</f>
        <v>0</v>
      </c>
      <c r="J508" s="164">
        <f ca="1">IFERROR(__xludf.DUMMYFUNCTION("IMPORTRANGE(""https://docs.google.com/spreadsheets/d/1XL5vhW3sbDhbH9Cz0tuDiY8C3ctxq1tqvaCgkFb8cCA/edit?usp=sharing"",""ยโสธร!J403"")"),0)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IFERROR(__xludf.DUMMYFUNCTION("IMPORTRANGE(""https://docs.google.com/spreadsheets/d/1XL5vhW3sbDhbH9Cz0tuDiY8C3ctxq1tqvaCgkFb8cCA/edit?usp=sharing"",""ยโสธร!I404"")"),0)</f>
        <v>0</v>
      </c>
      <c r="J509" s="164">
        <f ca="1">IFERROR(__xludf.DUMMYFUNCTION("IMPORTRANGE(""https://docs.google.com/spreadsheets/d/1XL5vhW3sbDhbH9Cz0tuDiY8C3ctxq1tqvaCgkFb8cCA/edit?usp=sharing"",""ยโสธร!J404"")"),0)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IFERROR(__xludf.DUMMYFUNCTION("IMPORTRANGE(""https://docs.google.com/spreadsheets/d/1XL5vhW3sbDhbH9Cz0tuDiY8C3ctxq1tqvaCgkFb8cCA/edit?usp=sharing"",""ยโสธร!I405"")"),0)</f>
        <v>0</v>
      </c>
      <c r="J510" s="199">
        <f ca="1">IFERROR(__xludf.DUMMYFUNCTION("IMPORTRANGE(""https://docs.google.com/spreadsheets/d/1XL5vhW3sbDhbH9Cz0tuDiY8C3ctxq1tqvaCgkFb8cCA/edit?usp=sharing"",""ยโสธร!J405"")"),0)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IFERROR(__xludf.DUMMYFUNCTION("IMPORTRANGE(""https://docs.google.com/spreadsheets/d/1XL5vhW3sbDhbH9Cz0tuDiY8C3ctxq1tqvaCgkFb8cCA/edit?usp=sharing"",""ยโสธร!I406"")"),0)</f>
        <v>0</v>
      </c>
      <c r="J511" s="199">
        <f ca="1">IFERROR(__xludf.DUMMYFUNCTION("IMPORTRANGE(""https://docs.google.com/spreadsheets/d/1XL5vhW3sbDhbH9Cz0tuDiY8C3ctxq1tqvaCgkFb8cCA/edit?usp=sharing"",""ยโสธร!J406"")"),0)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IFERROR(__xludf.DUMMYFUNCTION("IMPORTRANGE(""https://docs.google.com/spreadsheets/d/1XL5vhW3sbDhbH9Cz0tuDiY8C3ctxq1tqvaCgkFb8cCA/edit?usp=sharing"",""ยโสธร!I407"")"),0)</f>
        <v>0</v>
      </c>
      <c r="J512" s="199">
        <f ca="1">IFERROR(__xludf.DUMMYFUNCTION("IMPORTRANGE(""https://docs.google.com/spreadsheets/d/1XL5vhW3sbDhbH9Cz0tuDiY8C3ctxq1tqvaCgkFb8cCA/edit?usp=sharing"",""ยโสธร!J407"")"),0)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IFERROR(__xludf.DUMMYFUNCTION("IMPORTRANGE(""https://docs.google.com/spreadsheets/d/1XL5vhW3sbDhbH9Cz0tuDiY8C3ctxq1tqvaCgkFb8cCA/edit?usp=sharing"",""ยโสธร!I408"")"),0)</f>
        <v>0</v>
      </c>
      <c r="J513" s="199">
        <f ca="1">IFERROR(__xludf.DUMMYFUNCTION("IMPORTRANGE(""https://docs.google.com/spreadsheets/d/1XL5vhW3sbDhbH9Cz0tuDiY8C3ctxq1tqvaCgkFb8cCA/edit?usp=sharing"",""ยโสธร!J408"")"),0)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IFERROR(__xludf.DUMMYFUNCTION("IMPORTRANGE(""https://docs.google.com/spreadsheets/d/1XL5vhW3sbDhbH9Cz0tuDiY8C3ctxq1tqvaCgkFb8cCA/edit?usp=sharing"",""ยโสธร!I409"")"),0)</f>
        <v>0</v>
      </c>
      <c r="J514" s="199">
        <f ca="1">IFERROR(__xludf.DUMMYFUNCTION("IMPORTRANGE(""https://docs.google.com/spreadsheets/d/1XL5vhW3sbDhbH9Cz0tuDiY8C3ctxq1tqvaCgkFb8cCA/edit?usp=sharing"",""ยโสธร!J409"")"),0)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IFERROR(__xludf.DUMMYFUNCTION("IMPORTRANGE(""https://docs.google.com/spreadsheets/d/1XL5vhW3sbDhbH9Cz0tuDiY8C3ctxq1tqvaCgkFb8cCA/edit?usp=sharing"",""ยโสธร!I410"")"),0)</f>
        <v>0</v>
      </c>
      <c r="J515" s="199">
        <f ca="1">IFERROR(__xludf.DUMMYFUNCTION("IMPORTRANGE(""https://docs.google.com/spreadsheets/d/1XL5vhW3sbDhbH9Cz0tuDiY8C3ctxq1tqvaCgkFb8cCA/edit?usp=sharing"",""ยโสธร!J410"")"),0)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IFERROR(__xludf.DUMMYFUNCTION("IMPORTRANGE(""https://docs.google.com/spreadsheets/d/1XL5vhW3sbDhbH9Cz0tuDiY8C3ctxq1tqvaCgkFb8cCA/edit?usp=sharing"",""ยโสธร!I412"")"),0)</f>
        <v>0</v>
      </c>
      <c r="J517" s="284">
        <f ca="1">IFERROR(__xludf.DUMMYFUNCTION("IMPORTRANGE(""https://docs.google.com/spreadsheets/d/1XL5vhW3sbDhbH9Cz0tuDiY8C3ctxq1tqvaCgkFb8cCA/edit?usp=sharing"",""ยโสธร!J412"")"),0)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IFERROR(__xludf.DUMMYFUNCTION("IMPORTRANGE(""https://docs.google.com/spreadsheets/d/1XL5vhW3sbDhbH9Cz0tuDiY8C3ctxq1tqvaCgkFb8cCA/edit?usp=sharing"",""ยโสธร!I413"")"),0)</f>
        <v>0</v>
      </c>
      <c r="J518" s="284">
        <f ca="1">IFERROR(__xludf.DUMMYFUNCTION("IMPORTRANGE(""https://docs.google.com/spreadsheets/d/1XL5vhW3sbDhbH9Cz0tuDiY8C3ctxq1tqvaCgkFb8cCA/edit?usp=sharing"",""ยโสธร!J413"")"),0)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IFERROR(__xludf.DUMMYFUNCTION("IMPORTRANGE(""https://docs.google.com/spreadsheets/d/1XL5vhW3sbDhbH9Cz0tuDiY8C3ctxq1tqvaCgkFb8cCA/edit?usp=sharing"",""ยโสธร!I414"")"),0)</f>
        <v>0</v>
      </c>
      <c r="J519" s="189">
        <f ca="1">IFERROR(__xludf.DUMMYFUNCTION("IMPORTRANGE(""https://docs.google.com/spreadsheets/d/1XL5vhW3sbDhbH9Cz0tuDiY8C3ctxq1tqvaCgkFb8cCA/edit?usp=sharing"",""ยโสธร!J414"")"),0)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IFERROR(__xludf.DUMMYFUNCTION("IMPORTRANGE(""https://docs.google.com/spreadsheets/d/1XL5vhW3sbDhbH9Cz0tuDiY8C3ctxq1tqvaCgkFb8cCA/edit?usp=sharing"",""ยโสธร!I415"")"),0)</f>
        <v>0</v>
      </c>
      <c r="J520" s="189">
        <f ca="1">IFERROR(__xludf.DUMMYFUNCTION("IMPORTRANGE(""https://docs.google.com/spreadsheets/d/1XL5vhW3sbDhbH9Cz0tuDiY8C3ctxq1tqvaCgkFb8cCA/edit?usp=sharing"",""ยโสธร!J415"")"),0)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IFERROR(__xludf.DUMMYFUNCTION("IMPORTRANGE(""https://docs.google.com/spreadsheets/d/1XL5vhW3sbDhbH9Cz0tuDiY8C3ctxq1tqvaCgkFb8cCA/edit?usp=sharing"",""ยโสธร!I416"")"),0)</f>
        <v>0</v>
      </c>
      <c r="J521" s="189">
        <f ca="1">IFERROR(__xludf.DUMMYFUNCTION("IMPORTRANGE(""https://docs.google.com/spreadsheets/d/1XL5vhW3sbDhbH9Cz0tuDiY8C3ctxq1tqvaCgkFb8cCA/edit?usp=sharing"",""ยโสธร!J416"")"),0)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IFERROR(__xludf.DUMMYFUNCTION("IMPORTRANGE(""https://docs.google.com/spreadsheets/d/1XL5vhW3sbDhbH9Cz0tuDiY8C3ctxq1tqvaCgkFb8cCA/edit?usp=sharing"",""ยโสธร!I417"")"),0)</f>
        <v>0</v>
      </c>
      <c r="J522" s="189">
        <f ca="1">IFERROR(__xludf.DUMMYFUNCTION("IMPORTRANGE(""https://docs.google.com/spreadsheets/d/1XL5vhW3sbDhbH9Cz0tuDiY8C3ctxq1tqvaCgkFb8cCA/edit?usp=sharing"",""ยโสธร!J417"")"),0)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IFERROR(__xludf.DUMMYFUNCTION("IMPORTRANGE(""https://docs.google.com/spreadsheets/d/1XL5vhW3sbDhbH9Cz0tuDiY8C3ctxq1tqvaCgkFb8cCA/edit?usp=sharing"",""ยโสธร!I418"")"),0)</f>
        <v>0</v>
      </c>
      <c r="J523" s="189">
        <f ca="1">IFERROR(__xludf.DUMMYFUNCTION("IMPORTRANGE(""https://docs.google.com/spreadsheets/d/1XL5vhW3sbDhbH9Cz0tuDiY8C3ctxq1tqvaCgkFb8cCA/edit?usp=sharing"",""ยโสธร!J418"")"),0)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IFERROR(__xludf.DUMMYFUNCTION("IMPORTRANGE(""https://docs.google.com/spreadsheets/d/1XL5vhW3sbDhbH9Cz0tuDiY8C3ctxq1tqvaCgkFb8cCA/edit?usp=sharing"",""ยโสธร!I419"")"),0)</f>
        <v>0</v>
      </c>
      <c r="J524" s="189">
        <f ca="1">IFERROR(__xludf.DUMMYFUNCTION("IMPORTRANGE(""https://docs.google.com/spreadsheets/d/1XL5vhW3sbDhbH9Cz0tuDiY8C3ctxq1tqvaCgkFb8cCA/edit?usp=sharing"",""ยโสธร!J419"")"),0)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IFERROR(__xludf.DUMMYFUNCTION("IMPORTRANGE(""https://docs.google.com/spreadsheets/d/1XL5vhW3sbDhbH9Cz0tuDiY8C3ctxq1tqvaCgkFb8cCA/edit?usp=sharing"",""ยโสธร!I420"")"),0)</f>
        <v>0</v>
      </c>
      <c r="J525" s="284">
        <f ca="1">IFERROR(__xludf.DUMMYFUNCTION("IMPORTRANGE(""https://docs.google.com/spreadsheets/d/1XL5vhW3sbDhbH9Cz0tuDiY8C3ctxq1tqvaCgkFb8cCA/edit?usp=sharing"",""ยโสธร!J420"")"),0)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IFERROR(__xludf.DUMMYFUNCTION("IMPORTRANGE(""https://docs.google.com/spreadsheets/d/1XL5vhW3sbDhbH9Cz0tuDiY8C3ctxq1tqvaCgkFb8cCA/edit?usp=sharing"",""ยโสธร!I421"")"),0)</f>
        <v>0</v>
      </c>
      <c r="J526" s="284">
        <f ca="1">IFERROR(__xludf.DUMMYFUNCTION("IMPORTRANGE(""https://docs.google.com/spreadsheets/d/1XL5vhW3sbDhbH9Cz0tuDiY8C3ctxq1tqvaCgkFb8cCA/edit?usp=sharing"",""ยโสธร!J421"")"),0)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IFERROR(__xludf.DUMMYFUNCTION("IMPORTRANGE(""https://docs.google.com/spreadsheets/d/1XL5vhW3sbDhbH9Cz0tuDiY8C3ctxq1tqvaCgkFb8cCA/edit?usp=sharing"",""ยโสธร!I422"")"),0)</f>
        <v>0</v>
      </c>
      <c r="J527" s="199">
        <f ca="1">IFERROR(__xludf.DUMMYFUNCTION("IMPORTRANGE(""https://docs.google.com/spreadsheets/d/1XL5vhW3sbDhbH9Cz0tuDiY8C3ctxq1tqvaCgkFb8cCA/edit?usp=sharing"",""ยโสธร!J422"")"),0)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IFERROR(__xludf.DUMMYFUNCTION("IMPORTRANGE(""https://docs.google.com/spreadsheets/d/1XL5vhW3sbDhbH9Cz0tuDiY8C3ctxq1tqvaCgkFb8cCA/edit?usp=sharing"",""ยโสธร!I423"")"),0)</f>
        <v>0</v>
      </c>
      <c r="J528" s="199">
        <f ca="1">IFERROR(__xludf.DUMMYFUNCTION("IMPORTRANGE(""https://docs.google.com/spreadsheets/d/1XL5vhW3sbDhbH9Cz0tuDiY8C3ctxq1tqvaCgkFb8cCA/edit?usp=sharing"",""ยโสธร!J423"")"),0)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IFERROR(__xludf.DUMMYFUNCTION("IMPORTRANGE(""https://docs.google.com/spreadsheets/d/1XL5vhW3sbDhbH9Cz0tuDiY8C3ctxq1tqvaCgkFb8cCA/edit?usp=sharing"",""ยโสธร!I424"")"),0)</f>
        <v>0</v>
      </c>
      <c r="J529" s="199">
        <f ca="1">IFERROR(__xludf.DUMMYFUNCTION("IMPORTRANGE(""https://docs.google.com/spreadsheets/d/1XL5vhW3sbDhbH9Cz0tuDiY8C3ctxq1tqvaCgkFb8cCA/edit?usp=sharing"",""ยโสธร!J424"")"),0)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IFERROR(__xludf.DUMMYFUNCTION("IMPORTRANGE(""https://docs.google.com/spreadsheets/d/1XL5vhW3sbDhbH9Cz0tuDiY8C3ctxq1tqvaCgkFb8cCA/edit?usp=sharing"",""ยโสธร!I425"")"),0)</f>
        <v>0</v>
      </c>
      <c r="J530" s="199">
        <f ca="1">IFERROR(__xludf.DUMMYFUNCTION("IMPORTRANGE(""https://docs.google.com/spreadsheets/d/1XL5vhW3sbDhbH9Cz0tuDiY8C3ctxq1tqvaCgkFb8cCA/edit?usp=sharing"",""ยโสธร!J425"")"),0)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IFERROR(__xludf.DUMMYFUNCTION("IMPORTRANGE(""https://docs.google.com/spreadsheets/d/1XL5vhW3sbDhbH9Cz0tuDiY8C3ctxq1tqvaCgkFb8cCA/edit?usp=sharing"",""ยโสธร!I426"")"),0)</f>
        <v>0</v>
      </c>
      <c r="J531" s="199">
        <f ca="1">IFERROR(__xludf.DUMMYFUNCTION("IMPORTRANGE(""https://docs.google.com/spreadsheets/d/1XL5vhW3sbDhbH9Cz0tuDiY8C3ctxq1tqvaCgkFb8cCA/edit?usp=sharing"",""ยโสธร!J426"")"),0)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IFERROR(__xludf.DUMMYFUNCTION("IMPORTRANGE(""https://docs.google.com/spreadsheets/d/1XL5vhW3sbDhbH9Cz0tuDiY8C3ctxq1tqvaCgkFb8cCA/edit?usp=sharing"",""ยโสธร!M428"")"),17000)</f>
        <v>17000</v>
      </c>
      <c r="O533" s="412">
        <f t="shared" ref="O533:O537" ca="1" si="118">+IF(L533&gt;0,N533*100/L533,0)</f>
        <v>49.504950495049506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IFERROR(__xludf.DUMMYFUNCTION("IMPORTRANGE(""https://docs.google.com/spreadsheets/d/1XL5vhW3sbDhbH9Cz0tuDiY8C3ctxq1tqvaCgkFb8cCA/edit?usp=sharing"",""ยโสธร!L429"")"),0)</f>
        <v>0</v>
      </c>
      <c r="M534" s="166"/>
      <c r="N534" s="170">
        <f ca="1">IFERROR(__xludf.DUMMYFUNCTION("IMPORTRANGE(""https://docs.google.com/spreadsheets/d/1XL5vhW3sbDhbH9Cz0tuDiY8C3ctxq1tqvaCgkFb8cCA/edit?usp=sharing"",""ยโสธร!M429"")"),0)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IFERROR(__xludf.DUMMYFUNCTION("IMPORTRANGE(""https://docs.google.com/spreadsheets/d/1XL5vhW3sbDhbH9Cz0tuDiY8C3ctxq1tqvaCgkFb8cCA/edit?usp=sharing"",""ยโสธร!L430"")"),34340)</f>
        <v>34340</v>
      </c>
      <c r="M535" s="167"/>
      <c r="N535" s="170">
        <f ca="1">IFERROR(__xludf.DUMMYFUNCTION("IMPORTRANGE(""https://docs.google.com/spreadsheets/d/1XL5vhW3sbDhbH9Cz0tuDiY8C3ctxq1tqvaCgkFb8cCA/edit?usp=sharing"",""ยโสธร!M430"")"),17000)</f>
        <v>17000</v>
      </c>
      <c r="O535" s="170">
        <f t="shared" ca="1" si="118"/>
        <v>49.504950495049506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IFERROR(__xludf.DUMMYFUNCTION("IMPORTRANGE(""https://docs.google.com/spreadsheets/d/1XL5vhW3sbDhbH9Cz0tuDiY8C3ctxq1tqvaCgkFb8cCA/edit?usp=sharing"",""ยโสธร!L431"")"),0)</f>
        <v>0</v>
      </c>
      <c r="M536" s="170"/>
      <c r="N536" s="170">
        <f ca="1">IFERROR(__xludf.DUMMYFUNCTION("IMPORTRANGE(""https://docs.google.com/spreadsheets/d/1XL5vhW3sbDhbH9Cz0tuDiY8C3ctxq1tqvaCgkFb8cCA/edit?usp=sharing"",""ยโสธร!M431"")"),0)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IFERROR(__xludf.DUMMYFUNCTION("IMPORTRANGE(""https://docs.google.com/spreadsheets/d/1XL5vhW3sbDhbH9Cz0tuDiY8C3ctxq1tqvaCgkFb8cCA/edit?usp=sharing"",""ยโสธร!L432"")"),34340)</f>
        <v>34340</v>
      </c>
      <c r="M537" s="170"/>
      <c r="N537" s="170">
        <f ca="1">IFERROR(__xludf.DUMMYFUNCTION("IMPORTRANGE(""https://docs.google.com/spreadsheets/d/1XL5vhW3sbDhbH9Cz0tuDiY8C3ctxq1tqvaCgkFb8cCA/edit?usp=sharing"",""ยโสธร!M432"")"),17000)</f>
        <v>17000</v>
      </c>
      <c r="O537" s="170">
        <f t="shared" ca="1" si="118"/>
        <v>49.504950495049506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IFERROR(__xludf.DUMMYFUNCTION("IMPORTRANGE(""https://docs.google.com/spreadsheets/d/1XL5vhW3sbDhbH9Cz0tuDiY8C3ctxq1tqvaCgkFb8cCA/edit?usp=sharing"",""ยโสธร!M436"")"),2200)</f>
        <v>2200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IFERROR(__xludf.DUMMYFUNCTION("IMPORTRANGE(""https://docs.google.com/spreadsheets/d/1XL5vhW3sbDhbH9Cz0tuDiY8C3ctxq1tqvaCgkFb8cCA/edit?usp=sharing"",""ยโสธร!J438"")"),0)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IFERROR(__xludf.DUMMYFUNCTION("IMPORTRANGE(""https://docs.google.com/spreadsheets/d/1XL5vhW3sbDhbH9Cz0tuDiY8C3ctxq1tqvaCgkFb8cCA/edit?usp=sharing"",""ยโสธร!J439"")"),1)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IFERROR(__xludf.DUMMYFUNCTION("IMPORTRANGE(""https://docs.google.com/spreadsheets/d/1XL5vhW3sbDhbH9Cz0tuDiY8C3ctxq1tqvaCgkFb8cCA/edit?usp=sharing"",""ยโสธร!J440"")"),1)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IFERROR(__xludf.DUMMYFUNCTION("IMPORTRANGE(""https://docs.google.com/spreadsheets/d/1XL5vhW3sbDhbH9Cz0tuDiY8C3ctxq1tqvaCgkFb8cCA/edit?usp=sharing"",""ยโสธร!J441"")"),1)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IFERROR(__xludf.DUMMYFUNCTION("IMPORTRANGE(""https://docs.google.com/spreadsheets/d/1XL5vhW3sbDhbH9Cz0tuDiY8C3ctxq1tqvaCgkFb8cCA/edit?usp=sharing"",""ยโสธร!I442"")"),22)</f>
        <v>22</v>
      </c>
      <c r="J547" s="190">
        <f ca="1">IFERROR(__xludf.DUMMYFUNCTION("IMPORTRANGE(""https://docs.google.com/spreadsheets/d/1XL5vhW3sbDhbH9Cz0tuDiY8C3ctxq1tqvaCgkFb8cCA/edit?usp=sharing"",""ยโสธร!J442"")"),22)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IFERROR(__xludf.DUMMYFUNCTION("IMPORTRANGE(""https://docs.google.com/spreadsheets/d/1XL5vhW3sbDhbH9Cz0tuDiY8C3ctxq1tqvaCgkFb8cCA/edit?usp=sharing"",""ยโสธร!J166"")"),0)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IFERROR(__xludf.DUMMYFUNCTION("IMPORTRANGE(""https://docs.google.com/spreadsheets/d/1XL5vhW3sbDhbH9Cz0tuDiY8C3ctxq1tqvaCgkFb8cCA/edit?usp=sharing"",""ยโสธร!J444"")"),0)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IFERROR(__xludf.DUMMYFUNCTION("IMPORTRANGE(""https://docs.google.com/spreadsheets/d/1XL5vhW3sbDhbH9Cz0tuDiY8C3ctxq1tqvaCgkFb8cCA/edit?usp=sharing"",""ยโสธร!L447"")"),0)</f>
        <v>0</v>
      </c>
      <c r="M552" s="166"/>
      <c r="N552" s="170">
        <f ca="1">IFERROR(__xludf.DUMMYFUNCTION("IMPORTRANGE(""https://docs.google.com/spreadsheets/d/1XL5vhW3sbDhbH9Cz0tuDiY8C3ctxq1tqvaCgkFb8cCA/edit?usp=sharing"",""ยโสธร!M447"")"),0)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IFERROR(__xludf.DUMMYFUNCTION("IMPORTRANGE(""https://docs.google.com/spreadsheets/d/1XL5vhW3sbDhbH9Cz0tuDiY8C3ctxq1tqvaCgkFb8cCA/edit?usp=sharing"",""ยโสธร!L448"")"),0)</f>
        <v>0</v>
      </c>
      <c r="M553" s="167"/>
      <c r="N553" s="170">
        <f ca="1">IFERROR(__xludf.DUMMYFUNCTION("IMPORTRANGE(""https://docs.google.com/spreadsheets/d/1XL5vhW3sbDhbH9Cz0tuDiY8C3ctxq1tqvaCgkFb8cCA/edit?usp=sharing"",""ยโสธร!M448"")"),0)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IFERROR(__xludf.DUMMYFUNCTION("IMPORTRANGE(""https://docs.google.com/spreadsheets/d/1XL5vhW3sbDhbH9Cz0tuDiY8C3ctxq1tqvaCgkFb8cCA/edit?usp=sharing"",""ยโสธร!L449"")"),0)</f>
        <v>0</v>
      </c>
      <c r="M554" s="170"/>
      <c r="N554" s="170">
        <f ca="1">IFERROR(__xludf.DUMMYFUNCTION("IMPORTRANGE(""https://docs.google.com/spreadsheets/d/1XL5vhW3sbDhbH9Cz0tuDiY8C3ctxq1tqvaCgkFb8cCA/edit?usp=sharing"",""ยโสธร!M449"")"),0)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IFERROR(__xludf.DUMMYFUNCTION("IMPORTRANGE(""https://docs.google.com/spreadsheets/d/1XL5vhW3sbDhbH9Cz0tuDiY8C3ctxq1tqvaCgkFb8cCA/edit?usp=sharing"",""ยโสธร!L450"")"),0)</f>
        <v>0</v>
      </c>
      <c r="M555" s="170"/>
      <c r="N555" s="170">
        <f ca="1">IFERROR(__xludf.DUMMYFUNCTION("IMPORTRANGE(""https://docs.google.com/spreadsheets/d/1XL5vhW3sbDhbH9Cz0tuDiY8C3ctxq1tqvaCgkFb8cCA/edit?usp=sharing"",""ยโสธร!M450"")"),0)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IFERROR(__xludf.DUMMYFUNCTION("IMPORTRANGE(""https://docs.google.com/spreadsheets/d/1XL5vhW3sbDhbH9Cz0tuDiY8C3ctxq1tqvaCgkFb8cCA/edit?usp=sharing"",""ยโสธร!M451"")"),0)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IFERROR(__xludf.DUMMYFUNCTION("IMPORTRANGE(""https://docs.google.com/spreadsheets/d/1XL5vhW3sbDhbH9Cz0tuDiY8C3ctxq1tqvaCgkFb8cCA/edit?usp=sharing"",""ยโสธร!M452"")"),0)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IFERROR(__xludf.DUMMYFUNCTION("IMPORTRANGE(""https://docs.google.com/spreadsheets/d/1XL5vhW3sbDhbH9Cz0tuDiY8C3ctxq1tqvaCgkFb8cCA/edit?usp=sharing"",""ยโสธร!M453"")"),0)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IFERROR(__xludf.DUMMYFUNCTION("IMPORTRANGE(""https://docs.google.com/spreadsheets/d/1XL5vhW3sbDhbH9Cz0tuDiY8C3ctxq1tqvaCgkFb8cCA/edit?usp=sharing"",""ยโสธร!M454"")"),0)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IFERROR(__xludf.DUMMYFUNCTION("IMPORTRANGE(""https://docs.google.com/spreadsheets/d/1XL5vhW3sbDhbH9Cz0tuDiY8C3ctxq1tqvaCgkFb8cCA/edit?usp=sharing"",""ยโสธร!I455"")"),0)</f>
        <v>0</v>
      </c>
      <c r="J560" s="164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IFERROR(__xludf.DUMMYFUNCTION("IMPORTRANGE(""https://docs.google.com/spreadsheets/d/1XL5vhW3sbDhbH9Cz0tuDiY8C3ctxq1tqvaCgkFb8cCA/edit?usp=sharing"",""ยโสธร!I456"")"),0)</f>
        <v>0</v>
      </c>
      <c r="J561" s="205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IFERROR(__xludf.DUMMYFUNCTION("IMPORTRANGE(""https://docs.google.com/spreadsheets/d/1XL5vhW3sbDhbH9Cz0tuDiY8C3ctxq1tqvaCgkFb8cCA/edit?usp=sharing"",""ยโสธร!I457"")"),0)</f>
        <v>0</v>
      </c>
      <c r="J562" s="205" t="str">
        <f ca="1">IFERROR(__xludf.DUMMYFUNCTION("IMPORTRANGE(""https://docs.google.com/spreadsheets/d/1XL5vhW3sbDhbH9Cz0tuDiY8C3ctxq1tqvaCgkFb8cCA/edit?usp=sharing"",""ยโสธร!J457"")"),"")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IFERROR(__xludf.DUMMYFUNCTION("IMPORTRANGE(""https://docs.google.com/spreadsheets/d/1XL5vhW3sbDhbH9Cz0tuDiY8C3ctxq1tqvaCgkFb8cCA/edit?usp=sharing"",""ยโสธร!I458"")"),0)</f>
        <v>0</v>
      </c>
      <c r="J563" s="189" t="str">
        <f ca="1">IFERROR(__xludf.DUMMYFUNCTION("IMPORTRANGE(""https://docs.google.com/spreadsheets/d/1XL5vhW3sbDhbH9Cz0tuDiY8C3ctxq1tqvaCgkFb8cCA/edit?usp=sharing"",""ยโสธร!J458"")"),"")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IFERROR(__xludf.DUMMYFUNCTION("IMPORTRANGE(""https://docs.google.com/spreadsheets/d/1XL5vhW3sbDhbH9Cz0tuDiY8C3ctxq1tqvaCgkFb8cCA/edit?usp=sharing"",""ยโสธร!J459"")"),2547)</f>
        <v>2547</v>
      </c>
      <c r="K564" s="372">
        <f t="shared" ca="1" si="121"/>
        <v>134.05263157894737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IFERROR(__xludf.DUMMYFUNCTION("IMPORTRANGE(""https://docs.google.com/spreadsheets/d/1XL5vhW3sbDhbH9Cz0tuDiY8C3ctxq1tqvaCgkFb8cCA/edit?usp=sharing"",""ยโสธร!M459"")"),16390)</f>
        <v>16390</v>
      </c>
      <c r="O564" s="373">
        <f t="shared" ref="O564:O568" ca="1" si="122">+IF(L564&gt;0,N564*100/L564,0)</f>
        <v>11.522778402699663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IFERROR(__xludf.DUMMYFUNCTION("IMPORTRANGE(""https://docs.google.com/spreadsheets/d/1XL5vhW3sbDhbH9Cz0tuDiY8C3ctxq1tqvaCgkFb8cCA/edit?usp=sharing"",""ยโสธร!L460"")"),0)</f>
        <v>0</v>
      </c>
      <c r="M565" s="166"/>
      <c r="N565" s="170">
        <f ca="1">IFERROR(__xludf.DUMMYFUNCTION("IMPORTRANGE(""https://docs.google.com/spreadsheets/d/1XL5vhW3sbDhbH9Cz0tuDiY8C3ctxq1tqvaCgkFb8cCA/edit?usp=sharing"",""ยโสธร!M460"")"),0)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IFERROR(__xludf.DUMMYFUNCTION("IMPORTRANGE(""https://docs.google.com/spreadsheets/d/1XL5vhW3sbDhbH9Cz0tuDiY8C3ctxq1tqvaCgkFb8cCA/edit?usp=sharing"",""ยโสธร!L461"")"),142240)</f>
        <v>142240</v>
      </c>
      <c r="M566" s="167"/>
      <c r="N566" s="170">
        <f ca="1">IFERROR(__xludf.DUMMYFUNCTION("IMPORTRANGE(""https://docs.google.com/spreadsheets/d/1XL5vhW3sbDhbH9Cz0tuDiY8C3ctxq1tqvaCgkFb8cCA/edit?usp=sharing"",""ยโสธร!M461"")"),16390)</f>
        <v>16390</v>
      </c>
      <c r="O566" s="170">
        <f t="shared" ca="1" si="122"/>
        <v>11.522778402699663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IFERROR(__xludf.DUMMYFUNCTION("IMPORTRANGE(""https://docs.google.com/spreadsheets/d/1XL5vhW3sbDhbH9Cz0tuDiY8C3ctxq1tqvaCgkFb8cCA/edit?usp=sharing"",""ยโสธร!L462"")"),0)</f>
        <v>0</v>
      </c>
      <c r="M567" s="170"/>
      <c r="N567" s="170">
        <f ca="1">IFERROR(__xludf.DUMMYFUNCTION("IMPORTRANGE(""https://docs.google.com/spreadsheets/d/1XL5vhW3sbDhbH9Cz0tuDiY8C3ctxq1tqvaCgkFb8cCA/edit?usp=sharing"",""ยโสธร!M462"")"),0)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IFERROR(__xludf.DUMMYFUNCTION("IMPORTRANGE(""https://docs.google.com/spreadsheets/d/1XL5vhW3sbDhbH9Cz0tuDiY8C3ctxq1tqvaCgkFb8cCA/edit?usp=sharing"",""ยโสธร!L463"")"),142240)</f>
        <v>142240</v>
      </c>
      <c r="M568" s="170"/>
      <c r="N568" s="170">
        <f ca="1">IFERROR(__xludf.DUMMYFUNCTION("IMPORTRANGE(""https://docs.google.com/spreadsheets/d/1XL5vhW3sbDhbH9Cz0tuDiY8C3ctxq1tqvaCgkFb8cCA/edit?usp=sharing"",""ยโสธร!M463"")"),16390)</f>
        <v>16390</v>
      </c>
      <c r="O568" s="170">
        <f t="shared" ca="1" si="122"/>
        <v>11.522778402699663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IFERROR(__xludf.DUMMYFUNCTION("IMPORTRANGE(""https://docs.google.com/spreadsheets/d/1XL5vhW3sbDhbH9Cz0tuDiY8C3ctxq1tqvaCgkFb8cCA/edit?usp=sharing"",""ยโสธร!M464"")"),0)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IFERROR(__xludf.DUMMYFUNCTION("IMPORTRANGE(""https://docs.google.com/spreadsheets/d/1XL5vhW3sbDhbH9Cz0tuDiY8C3ctxq1tqvaCgkFb8cCA/edit?usp=sharing"",""ยโสธร!M465"")"),0)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IFERROR(__xludf.DUMMYFUNCTION("IMPORTRANGE(""https://docs.google.com/spreadsheets/d/1XL5vhW3sbDhbH9Cz0tuDiY8C3ctxq1tqvaCgkFb8cCA/edit?usp=sharing"",""ยโสธร!M466"")"),0)</f>
        <v>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IFERROR(__xludf.DUMMYFUNCTION("IMPORTRANGE(""https://docs.google.com/spreadsheets/d/1XL5vhW3sbDhbH9Cz0tuDiY8C3ctxq1tqvaCgkFb8cCA/edit?usp=sharing"",""ยโสธร!M467"")"),16390)</f>
        <v>16390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IFERROR(__xludf.DUMMYFUNCTION("IMPORTRANGE(""https://docs.google.com/spreadsheets/d/1XL5vhW3sbDhbH9Cz0tuDiY8C3ctxq1tqvaCgkFb8cCA/edit?usp=sharing"",""ยโสธร!J468"")"),2547)</f>
        <v>2547</v>
      </c>
      <c r="K573" s="203">
        <f ca="1">IF(I573&gt;0,J573*100/I573,0)</f>
        <v>134.05263157894737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IFERROR(__xludf.DUMMYFUNCTION("IMPORTRANGE(""https://docs.google.com/spreadsheets/d/1XL5vhW3sbDhbH9Cz0tuDiY8C3ctxq1tqvaCgkFb8cCA/edit?usp=sharing"",""ยโสธร!I470"")"),0)</f>
        <v>0</v>
      </c>
      <c r="J575" s="199">
        <f ca="1">IFERROR(__xludf.DUMMYFUNCTION("IMPORTRANGE(""https://docs.google.com/spreadsheets/d/1XL5vhW3sbDhbH9Cz0tuDiY8C3ctxq1tqvaCgkFb8cCA/edit?usp=sharing"",""ยโสธร!J470"")"),6)</f>
        <v>6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IFERROR(__xludf.DUMMYFUNCTION("IMPORTRANGE(""https://docs.google.com/spreadsheets/d/1XL5vhW3sbDhbH9Cz0tuDiY8C3ctxq1tqvaCgkFb8cCA/edit?usp=sharing"",""ยโสธร!I471"")"),0)</f>
        <v>0</v>
      </c>
      <c r="J576" s="199">
        <f ca="1">IFERROR(__xludf.DUMMYFUNCTION("IMPORTRANGE(""https://docs.google.com/spreadsheets/d/1XL5vhW3sbDhbH9Cz0tuDiY8C3ctxq1tqvaCgkFb8cCA/edit?usp=sharing"",""ยโสธร!J471"")"),129)</f>
        <v>129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IFERROR(__xludf.DUMMYFUNCTION("IMPORTRANGE(""https://docs.google.com/spreadsheets/d/1XL5vhW3sbDhbH9Cz0tuDiY8C3ctxq1tqvaCgkFb8cCA/edit?usp=sharing"",""ยโสธร!I472"")"),0)</f>
        <v>0</v>
      </c>
      <c r="J577" s="190">
        <f ca="1">IFERROR(__xludf.DUMMYFUNCTION("IMPORTRANGE(""https://docs.google.com/spreadsheets/d/1XL5vhW3sbDhbH9Cz0tuDiY8C3ctxq1tqvaCgkFb8cCA/edit?usp=sharing"",""ยโสธร!J472"")"),2418)</f>
        <v>2418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IFERROR(__xludf.DUMMYFUNCTION("IMPORTRANGE(""https://docs.google.com/spreadsheets/d/1XL5vhW3sbDhbH9Cz0tuDiY8C3ctxq1tqvaCgkFb8cCA/edit?usp=sharing"",""ยโสธร!I473"")"),0)</f>
        <v>0</v>
      </c>
      <c r="J578" s="199">
        <f ca="1">IFERROR(__xludf.DUMMYFUNCTION("IMPORTRANGE(""https://docs.google.com/spreadsheets/d/1XL5vhW3sbDhbH9Cz0tuDiY8C3ctxq1tqvaCgkFb8cCA/edit?usp=sharing"",""ยโสธร!J473"")"),0)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IFERROR(__xludf.DUMMYFUNCTION("IMPORTRANGE(""https://docs.google.com/spreadsheets/d/1XL5vhW3sbDhbH9Cz0tuDiY8C3ctxq1tqvaCgkFb8cCA/edit?usp=sharing"",""ยโสธร!I474"")"),0)</f>
        <v>0</v>
      </c>
      <c r="J579" s="199">
        <f ca="1">IFERROR(__xludf.DUMMYFUNCTION("IMPORTRANGE(""https://docs.google.com/spreadsheets/d/1XL5vhW3sbDhbH9Cz0tuDiY8C3ctxq1tqvaCgkFb8cCA/edit?usp=sharing"",""ยโสธร!J474"")"),0)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IFERROR(__xludf.DUMMYFUNCTION("IMPORTRANGE(""https://docs.google.com/spreadsheets/d/1XL5vhW3sbDhbH9Cz0tuDiY8C3ctxq1tqvaCgkFb8cCA/edit?usp=sharing"",""ยโสธร!J475"")"),24)</f>
        <v>24</v>
      </c>
      <c r="K580" s="372">
        <f ca="1">IF(I580&gt;0,J580*100/I580,0)</f>
        <v>24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IFERROR(__xludf.DUMMYFUNCTION("IMPORTRANGE(""https://docs.google.com/spreadsheets/d/1XL5vhW3sbDhbH9Cz0tuDiY8C3ctxq1tqvaCgkFb8cCA/edit?usp=sharing"",""ยโสธร!M475"")"),60553)</f>
        <v>60553</v>
      </c>
      <c r="O580" s="373">
        <f t="shared" ref="O580:O584" ca="1" si="124">+IF(L580&gt;0,N580*100/L580,0)</f>
        <v>19.782097353805945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IFERROR(__xludf.DUMMYFUNCTION("IMPORTRANGE(""https://docs.google.com/spreadsheets/d/1XL5vhW3sbDhbH9Cz0tuDiY8C3ctxq1tqvaCgkFb8cCA/edit?usp=sharing"",""ยโสธร!L476"")"),0)</f>
        <v>0</v>
      </c>
      <c r="M581" s="166"/>
      <c r="N581" s="170">
        <f ca="1">IFERROR(__xludf.DUMMYFUNCTION("IMPORTRANGE(""https://docs.google.com/spreadsheets/d/1XL5vhW3sbDhbH9Cz0tuDiY8C3ctxq1tqvaCgkFb8cCA/edit?usp=sharing"",""ยโสธร!M476"")"),0)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IFERROR(__xludf.DUMMYFUNCTION("IMPORTRANGE(""https://docs.google.com/spreadsheets/d/1XL5vhW3sbDhbH9Cz0tuDiY8C3ctxq1tqvaCgkFb8cCA/edit?usp=sharing"",""ยโสธร!L477"")"),306100)</f>
        <v>306100</v>
      </c>
      <c r="M582" s="167"/>
      <c r="N582" s="170">
        <f ca="1">IFERROR(__xludf.DUMMYFUNCTION("IMPORTRANGE(""https://docs.google.com/spreadsheets/d/1XL5vhW3sbDhbH9Cz0tuDiY8C3ctxq1tqvaCgkFb8cCA/edit?usp=sharing"",""ยโสธร!M477"")"),60553)</f>
        <v>60553</v>
      </c>
      <c r="O582" s="170">
        <f t="shared" ca="1" si="124"/>
        <v>19.782097353805945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IFERROR(__xludf.DUMMYFUNCTION("IMPORTRANGE(""https://docs.google.com/spreadsheets/d/1XL5vhW3sbDhbH9Cz0tuDiY8C3ctxq1tqvaCgkFb8cCA/edit?usp=sharing"",""ยโสธร!L478"")"),0)</f>
        <v>0</v>
      </c>
      <c r="M583" s="170"/>
      <c r="N583" s="170">
        <f ca="1">IFERROR(__xludf.DUMMYFUNCTION("IMPORTRANGE(""https://docs.google.com/spreadsheets/d/1XL5vhW3sbDhbH9Cz0tuDiY8C3ctxq1tqvaCgkFb8cCA/edit?usp=sharing"",""ยโสธร!M478"")"),0)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IFERROR(__xludf.DUMMYFUNCTION("IMPORTRANGE(""https://docs.google.com/spreadsheets/d/1XL5vhW3sbDhbH9Cz0tuDiY8C3ctxq1tqvaCgkFb8cCA/edit?usp=sharing"",""ยโสธร!L479"")"),306100)</f>
        <v>306100</v>
      </c>
      <c r="M584" s="170"/>
      <c r="N584" s="170">
        <f ca="1">IFERROR(__xludf.DUMMYFUNCTION("IMPORTRANGE(""https://docs.google.com/spreadsheets/d/1XL5vhW3sbDhbH9Cz0tuDiY8C3ctxq1tqvaCgkFb8cCA/edit?usp=sharing"",""ยโสธร!M479"")"),60553)</f>
        <v>60553</v>
      </c>
      <c r="O584" s="170">
        <f t="shared" ca="1" si="124"/>
        <v>19.782097353805945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IFERROR(__xludf.DUMMYFUNCTION("IMPORTRANGE(""https://docs.google.com/spreadsheets/d/1XL5vhW3sbDhbH9Cz0tuDiY8C3ctxq1tqvaCgkFb8cCA/edit?usp=sharing"",""ยโสธร!M480"")"),0)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IFERROR(__xludf.DUMMYFUNCTION("IMPORTRANGE(""https://docs.google.com/spreadsheets/d/1XL5vhW3sbDhbH9Cz0tuDiY8C3ctxq1tqvaCgkFb8cCA/edit?usp=sharing"",""ยโสธร!M481"")"),0)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IFERROR(__xludf.DUMMYFUNCTION("IMPORTRANGE(""https://docs.google.com/spreadsheets/d/1XL5vhW3sbDhbH9Cz0tuDiY8C3ctxq1tqvaCgkFb8cCA/edit?usp=sharing"",""ยโสธร!M482"")"),32633)</f>
        <v>32633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IFERROR(__xludf.DUMMYFUNCTION("IMPORTRANGE(""https://docs.google.com/spreadsheets/d/1XL5vhW3sbDhbH9Cz0tuDiY8C3ctxq1tqvaCgkFb8cCA/edit?usp=sharing"",""ยโสธร!M483"")"),27920)</f>
        <v>27920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IFERROR(__xludf.DUMMYFUNCTION("IMPORTRANGE(""https://docs.google.com/spreadsheets/d/1XL5vhW3sbDhbH9Cz0tuDiY8C3ctxq1tqvaCgkFb8cCA/edit?usp=sharing"",""ยโสธร!I484"")"),100)</f>
        <v>100</v>
      </c>
      <c r="J589" s="189">
        <f ca="1">IFERROR(__xludf.DUMMYFUNCTION("IMPORTRANGE(""https://docs.google.com/spreadsheets/d/1XL5vhW3sbDhbH9Cz0tuDiY8C3ctxq1tqvaCgkFb8cCA/edit?usp=sharing"",""ยโสธร!J484"")"),4)</f>
        <v>4</v>
      </c>
      <c r="K589" s="165">
        <f t="shared" ref="K589:K596" ca="1" si="125">IF(I589&gt;0,J589*100/I589,0)</f>
        <v>4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9">
        <f ca="1">IFERROR(__xludf.DUMMYFUNCTION("IMPORTRANGE(""https://docs.google.com/spreadsheets/d/1XL5vhW3sbDhbH9Cz0tuDiY8C3ctxq1tqvaCgkFb8cCA/edit?usp=sharing"",""ยโสธร!J485"")"),1.94)</f>
        <v>1.94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IFERROR(__xludf.DUMMYFUNCTION("IMPORTRANGE(""https://docs.google.com/spreadsheets/d/1XL5vhW3sbDhbH9Cz0tuDiY8C3ctxq1tqvaCgkFb8cCA/edit?usp=sharing"",""ยโสธร!I486"")"),100)</f>
        <v>100</v>
      </c>
      <c r="J591" s="189">
        <f ca="1">IFERROR(__xludf.DUMMYFUNCTION("IMPORTRANGE(""https://docs.google.com/spreadsheets/d/1XL5vhW3sbDhbH9Cz0tuDiY8C3ctxq1tqvaCgkFb8cCA/edit?usp=sharing"",""ยโสธร!J486"")"),33)</f>
        <v>33</v>
      </c>
      <c r="K591" s="165">
        <f t="shared" ca="1" si="125"/>
        <v>33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9">
        <f ca="1">IFERROR(__xludf.DUMMYFUNCTION("IMPORTRANGE(""https://docs.google.com/spreadsheets/d/1XL5vhW3sbDhbH9Cz0tuDiY8C3ctxq1tqvaCgkFb8cCA/edit?usp=sharing"",""ยโสธร!J487"")"),16.15)</f>
        <v>16.149999999999999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IFERROR(__xludf.DUMMYFUNCTION("IMPORTRANGE(""https://docs.google.com/spreadsheets/d/1XL5vhW3sbDhbH9Cz0tuDiY8C3ctxq1tqvaCgkFb8cCA/edit?usp=sharing"",""ยโสธร!I488"")"),100)</f>
        <v>100</v>
      </c>
      <c r="J593" s="189">
        <f ca="1">IFERROR(__xludf.DUMMYFUNCTION("IMPORTRANGE(""https://docs.google.com/spreadsheets/d/1XL5vhW3sbDhbH9Cz0tuDiY8C3ctxq1tqvaCgkFb8cCA/edit?usp=sharing"",""ยโสธร!J488"")"),0)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9">
        <f ca="1">IFERROR(__xludf.DUMMYFUNCTION("IMPORTRANGE(""https://docs.google.com/spreadsheets/d/1XL5vhW3sbDhbH9Cz0tuDiY8C3ctxq1tqvaCgkFb8cCA/edit?usp=sharing"",""ยโสธร!J489"")"),0)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IFERROR(__xludf.DUMMYFUNCTION("IMPORTRANGE(""https://docs.google.com/spreadsheets/d/1XL5vhW3sbDhbH9Cz0tuDiY8C3ctxq1tqvaCgkFb8cCA/edit?usp=sharing"",""ยโสธร!I490"")"),100)</f>
        <v>100</v>
      </c>
      <c r="J595" s="189">
        <f ca="1">IFERROR(__xludf.DUMMYFUNCTION("IMPORTRANGE(""https://docs.google.com/spreadsheets/d/1XL5vhW3sbDhbH9Cz0tuDiY8C3ctxq1tqvaCgkFb8cCA/edit?usp=sharing"",""ยโสธร!J490"")"),24)</f>
        <v>24</v>
      </c>
      <c r="K595" s="165">
        <f t="shared" ca="1" si="125"/>
        <v>24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IFERROR(__xludf.DUMMYFUNCTION("IMPORTRANGE(""https://docs.google.com/spreadsheets/d/1XL5vhW3sbDhbH9Cz0tuDiY8C3ctxq1tqvaCgkFb8cCA/edit?usp=sharing"",""ยโสธร!J491"")"),12.41)</f>
        <v>12.41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7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IFERROR(__xludf.DUMMYFUNCTION("IMPORTRANGE(""https://docs.google.com/spreadsheets/d/1XL5vhW3sbDhbH9Cz0tuDiY8C3ctxq1tqvaCgkFb8cCA/edit?usp=sharing"",""ยโสธร!M492"")"),2889)</f>
        <v>2889</v>
      </c>
      <c r="O597" s="412">
        <f t="shared" ref="O597:O601" ca="1" si="126">+IF(L597&gt;0,N597*100/L597,0)</f>
        <v>21.087591240875913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IFERROR(__xludf.DUMMYFUNCTION("IMPORTRANGE(""https://docs.google.com/spreadsheets/d/1XL5vhW3sbDhbH9Cz0tuDiY8C3ctxq1tqvaCgkFb8cCA/edit?usp=sharing"",""ยโสธร!L493"")"),0)</f>
        <v>0</v>
      </c>
      <c r="M598" s="166"/>
      <c r="N598" s="170">
        <f ca="1">IFERROR(__xludf.DUMMYFUNCTION("IMPORTRANGE(""https://docs.google.com/spreadsheets/d/1XL5vhW3sbDhbH9Cz0tuDiY8C3ctxq1tqvaCgkFb8cCA/edit?usp=sharing"",""ยโสธร!M493"")"),0)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IFERROR(__xludf.DUMMYFUNCTION("IMPORTRANGE(""https://docs.google.com/spreadsheets/d/1XL5vhW3sbDhbH9Cz0tuDiY8C3ctxq1tqvaCgkFb8cCA/edit?usp=sharing"",""ยโสธร!L494"")"),13700)</f>
        <v>13700</v>
      </c>
      <c r="M599" s="167"/>
      <c r="N599" s="170">
        <f ca="1">IFERROR(__xludf.DUMMYFUNCTION("IMPORTRANGE(""https://docs.google.com/spreadsheets/d/1XL5vhW3sbDhbH9Cz0tuDiY8C3ctxq1tqvaCgkFb8cCA/edit?usp=sharing"",""ยโสธร!M494"")"),2889)</f>
        <v>2889</v>
      </c>
      <c r="O599" s="170">
        <f t="shared" ca="1" si="126"/>
        <v>21.087591240875913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IFERROR(__xludf.DUMMYFUNCTION("IMPORTRANGE(""https://docs.google.com/spreadsheets/d/1XL5vhW3sbDhbH9Cz0tuDiY8C3ctxq1tqvaCgkFb8cCA/edit?usp=sharing"",""ยโสธร!L495"")"),0)</f>
        <v>0</v>
      </c>
      <c r="M600" s="170"/>
      <c r="N600" s="170">
        <f ca="1">IFERROR(__xludf.DUMMYFUNCTION("IMPORTRANGE(""https://docs.google.com/spreadsheets/d/1XL5vhW3sbDhbH9Cz0tuDiY8C3ctxq1tqvaCgkFb8cCA/edit?usp=sharing"",""ยโสธร!M495"")"),0)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IFERROR(__xludf.DUMMYFUNCTION("IMPORTRANGE(""https://docs.google.com/spreadsheets/d/1XL5vhW3sbDhbH9Cz0tuDiY8C3ctxq1tqvaCgkFb8cCA/edit?usp=sharing"",""ยโสธร!L496"")"),13700)</f>
        <v>13700</v>
      </c>
      <c r="M601" s="170"/>
      <c r="N601" s="170">
        <f ca="1">IFERROR(__xludf.DUMMYFUNCTION("IMPORTRANGE(""https://docs.google.com/spreadsheets/d/1XL5vhW3sbDhbH9Cz0tuDiY8C3ctxq1tqvaCgkFb8cCA/edit?usp=sharing"",""ยโสธร!M496"")"),2889)</f>
        <v>2889</v>
      </c>
      <c r="O601" s="170">
        <f t="shared" ca="1" si="126"/>
        <v>21.087591240875913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IFERROR(__xludf.DUMMYFUNCTION("IMPORTRANGE(""https://docs.google.com/spreadsheets/d/1XL5vhW3sbDhbH9Cz0tuDiY8C3ctxq1tqvaCgkFb8cCA/edit?usp=sharing"",""ยโสธร!M497"")"),0)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IFERROR(__xludf.DUMMYFUNCTION("IMPORTRANGE(""https://docs.google.com/spreadsheets/d/1XL5vhW3sbDhbH9Cz0tuDiY8C3ctxq1tqvaCgkFb8cCA/edit?usp=sharing"",""ยโสธร!M498"")"),0)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IFERROR(__xludf.DUMMYFUNCTION("IMPORTRANGE(""https://docs.google.com/spreadsheets/d/1XL5vhW3sbDhbH9Cz0tuDiY8C3ctxq1tqvaCgkFb8cCA/edit?usp=sharing"",""ยโสธร!M500"")"),2889)</f>
        <v>2889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IFERROR(__xludf.DUMMYFUNCTION("IMPORTRANGE(""https://docs.google.com/spreadsheets/d/1XL5vhW3sbDhbH9Cz0tuDiY8C3ctxq1tqvaCgkFb8cCA/edit?usp=sharing"",""ยโสธร!J502"")"),0)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IFERROR(__xludf.DUMMYFUNCTION("IMPORTRANGE(""https://docs.google.com/spreadsheets/d/1XL5vhW3sbDhbH9Cz0tuDiY8C3ctxq1tqvaCgkFb8cCA/edit?usp=sharing"",""ยโสธร!J503"")"),1)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IFERROR(__xludf.DUMMYFUNCTION("IMPORTRANGE(""https://docs.google.com/spreadsheets/d/1XL5vhW3sbDhbH9Cz0tuDiY8C3ctxq1tqvaCgkFb8cCA/edit?usp=sharing"",""ยโสธร!J166"")"),0)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IFERROR(__xludf.DUMMYFUNCTION("IMPORTRANGE(""https://docs.google.com/spreadsheets/d/1XL5vhW3sbDhbH9Cz0tuDiY8C3ctxq1tqvaCgkFb8cCA/edit?usp=sharing"",""ยโสธร!J166"")"),0)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IFERROR(__xludf.DUMMYFUNCTION("IMPORTRANGE(""https://docs.google.com/spreadsheets/d/1XL5vhW3sbDhbH9Cz0tuDiY8C3ctxq1tqvaCgkFb8cCA/edit?usp=sharing"",""ยโสธร!I506"")"),100)</f>
        <v>100</v>
      </c>
      <c r="J611" s="164">
        <f ca="1">IFERROR(__xludf.DUMMYFUNCTION("IMPORTRANGE(""https://docs.google.com/spreadsheets/d/1XL5vhW3sbDhbH9Cz0tuDiY8C3ctxq1tqvaCgkFb8cCA/edit?usp=sharing"",""ยโสธร!J506"")"),0)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IFERROR(__xludf.DUMMYFUNCTION("IMPORTRANGE(""https://docs.google.com/spreadsheets/d/1XL5vhW3sbDhbH9Cz0tuDiY8C3ctxq1tqvaCgkFb8cCA/edit?usp=sharing"",""ยโสธร!I507"")"),0)</f>
        <v>0</v>
      </c>
      <c r="J612" s="199">
        <f ca="1">IFERROR(__xludf.DUMMYFUNCTION("IMPORTRANGE(""https://docs.google.com/spreadsheets/d/1XL5vhW3sbDhbH9Cz0tuDiY8C3ctxq1tqvaCgkFb8cCA/edit?usp=sharing"",""ยโสธร!J507"")"),81.22)</f>
        <v>81.22</v>
      </c>
      <c r="K612" s="165">
        <f t="shared" ca="1" si="127"/>
        <v>81.22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IFERROR(__xludf.DUMMYFUNCTION("IMPORTRANGE(""https://docs.google.com/spreadsheets/d/1XL5vhW3sbDhbH9Cz0tuDiY8C3ctxq1tqvaCgkFb8cCA/edit?usp=sharing"",""ยโสธร!I508"")"),0)</f>
        <v>0</v>
      </c>
      <c r="J613" s="199">
        <f ca="1">IFERROR(__xludf.DUMMYFUNCTION("IMPORTRANGE(""https://docs.google.com/spreadsheets/d/1XL5vhW3sbDhbH9Cz0tuDiY8C3ctxq1tqvaCgkFb8cCA/edit?usp=sharing"",""ยโสธร!J508"")"),0)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IFERROR(__xludf.DUMMYFUNCTION("IMPORTRANGE(""https://docs.google.com/spreadsheets/d/1XL5vhW3sbDhbH9Cz0tuDiY8C3ctxq1tqvaCgkFb8cCA/edit?usp=sharing"",""ยโสธร!I509"")"),0)</f>
        <v>0</v>
      </c>
      <c r="J614" s="199">
        <f ca="1">IFERROR(__xludf.DUMMYFUNCTION("IMPORTRANGE(""https://docs.google.com/spreadsheets/d/1XL5vhW3sbDhbH9Cz0tuDiY8C3ctxq1tqvaCgkFb8cCA/edit?usp=sharing"",""ยโสธร!J509"")"),0)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IFERROR(__xludf.DUMMYFUNCTION("IMPORTRANGE(""https://docs.google.com/spreadsheets/d/1XL5vhW3sbDhbH9Cz0tuDiY8C3ctxq1tqvaCgkFb8cCA/edit?usp=sharing"",""ยโสธร!I510"")"),0)</f>
        <v>0</v>
      </c>
      <c r="J615" s="199">
        <f ca="1">IFERROR(__xludf.DUMMYFUNCTION("IMPORTRANGE(""https://docs.google.com/spreadsheets/d/1XL5vhW3sbDhbH9Cz0tuDiY8C3ctxq1tqvaCgkFb8cCA/edit?usp=sharing"",""ยโสธร!J510"")"),0)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IFERROR(__xludf.DUMMYFUNCTION("IMPORTRANGE(""https://docs.google.com/spreadsheets/d/1XL5vhW3sbDhbH9Cz0tuDiY8C3ctxq1tqvaCgkFb8cCA/edit?usp=sharing"",""ยโสธร!I511"")"),0)</f>
        <v>0</v>
      </c>
      <c r="J616" s="199">
        <f ca="1">IFERROR(__xludf.DUMMYFUNCTION("IMPORTRANGE(""https://docs.google.com/spreadsheets/d/1XL5vhW3sbDhbH9Cz0tuDiY8C3ctxq1tqvaCgkFb8cCA/edit?usp=sharing"",""ยโสธร!J511"")"),0)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IFERROR(__xludf.DUMMYFUNCTION("IMPORTRANGE(""https://docs.google.com/spreadsheets/d/1XL5vhW3sbDhbH9Cz0tuDiY8C3ctxq1tqvaCgkFb8cCA/edit?usp=sharing"",""ยโสธร!I512"")"),0)</f>
        <v>0</v>
      </c>
      <c r="J617" s="189">
        <f ca="1">IFERROR(__xludf.DUMMYFUNCTION("IMPORTRANGE(""https://docs.google.com/spreadsheets/d/1XL5vhW3sbDhbH9Cz0tuDiY8C3ctxq1tqvaCgkFb8cCA/edit?usp=sharing"",""ยโสธร!J512"")"),0)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IFERROR(__xludf.DUMMYFUNCTION("IMPORTRANGE(""https://docs.google.com/spreadsheets/d/1XL5vhW3sbDhbH9Cz0tuDiY8C3ctxq1tqvaCgkFb8cCA/edit?usp=sharing"",""ยโสธร!I513"")"),0)</f>
        <v>0</v>
      </c>
      <c r="J618" s="190">
        <f ca="1">IFERROR(__xludf.DUMMYFUNCTION("IMPORTRANGE(""https://docs.google.com/spreadsheets/d/1XL5vhW3sbDhbH9Cz0tuDiY8C3ctxq1tqvaCgkFb8cCA/edit?usp=sharing"",""ยโสธร!J513"")"),0)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IFERROR(__xludf.DUMMYFUNCTION("IMPORTRANGE(""https://docs.google.com/spreadsheets/d/1XL5vhW3sbDhbH9Cz0tuDiY8C3ctxq1tqvaCgkFb8cCA/edit?usp=sharing"",""ยโสธร!I514"")"),0)</f>
        <v>0</v>
      </c>
      <c r="J619" s="190">
        <f ca="1">IFERROR(__xludf.DUMMYFUNCTION("IMPORTRANGE(""https://docs.google.com/spreadsheets/d/1XL5vhW3sbDhbH9Cz0tuDiY8C3ctxq1tqvaCgkFb8cCA/edit?usp=sharing"",""ยโสธร!J514"")"),0)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IFERROR(__xludf.DUMMYFUNCTION("IMPORTRANGE(""https://docs.google.com/spreadsheets/d/1XL5vhW3sbDhbH9Cz0tuDiY8C3ctxq1tqvaCgkFb8cCA/edit?usp=sharing"",""ยโสธร!I515"")"),0)</f>
        <v>0</v>
      </c>
      <c r="J620" s="204">
        <f ca="1">IFERROR(__xludf.DUMMYFUNCTION("IMPORTRANGE(""https://docs.google.com/spreadsheets/d/1XL5vhW3sbDhbH9Cz0tuDiY8C3ctxq1tqvaCgkFb8cCA/edit?usp=sharing"",""ยโสธร!J515"")"),0)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IFERROR(__xludf.DUMMYFUNCTION("IMPORTRANGE(""https://docs.google.com/spreadsheets/d/1XL5vhW3sbDhbH9Cz0tuDiY8C3ctxq1tqvaCgkFb8cCA/edit?usp=sharing"",""ยโสธร!I516"")"),0)</f>
        <v>0</v>
      </c>
      <c r="J621" s="204">
        <f ca="1">IFERROR(__xludf.DUMMYFUNCTION("IMPORTRANGE(""https://docs.google.com/spreadsheets/d/1XL5vhW3sbDhbH9Cz0tuDiY8C3ctxq1tqvaCgkFb8cCA/edit?usp=sharing"",""ยโสธร!J516"")"),0)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IFERROR(__xludf.DUMMYFUNCTION("IMPORTRANGE(""https://docs.google.com/spreadsheets/d/1XL5vhW3sbDhbH9Cz0tuDiY8C3ctxq1tqvaCgkFb8cCA/edit?usp=sharing"",""ยโสธร!I517"")"),0)</f>
        <v>0</v>
      </c>
      <c r="J622" s="190">
        <f ca="1">IFERROR(__xludf.DUMMYFUNCTION("IMPORTRANGE(""https://docs.google.com/spreadsheets/d/1XL5vhW3sbDhbH9Cz0tuDiY8C3ctxq1tqvaCgkFb8cCA/edit?usp=sharing"",""ยโสธร!J517"")"),0)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IFERROR(__xludf.DUMMYFUNCTION("IMPORTRANGE(""https://docs.google.com/spreadsheets/d/1XL5vhW3sbDhbH9Cz0tuDiY8C3ctxq1tqvaCgkFb8cCA/edit?usp=sharing"",""ยโสธร!I518"")"),0)</f>
        <v>0</v>
      </c>
      <c r="J623" s="190">
        <f ca="1">IFERROR(__xludf.DUMMYFUNCTION("IMPORTRANGE(""https://docs.google.com/spreadsheets/d/1XL5vhW3sbDhbH9Cz0tuDiY8C3ctxq1tqvaCgkFb8cCA/edit?usp=sharing"",""ยโสธร!J518"")"),0)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IFERROR(__xludf.DUMMYFUNCTION("IMPORTRANGE(""https://docs.google.com/spreadsheets/d/1XL5vhW3sbDhbH9Cz0tuDiY8C3ctxq1tqvaCgkFb8cCA/edit?usp=sharing"",""ยโสธร!I519"")"),0)</f>
        <v>0</v>
      </c>
      <c r="J624" s="189">
        <f ca="1">IFERROR(__xludf.DUMMYFUNCTION("IMPORTRANGE(""https://docs.google.com/spreadsheets/d/1XL5vhW3sbDhbH9Cz0tuDiY8C3ctxq1tqvaCgkFb8cCA/edit?usp=sharing"",""ยโสธร!J519"")"),0)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IFERROR(__xludf.DUMMYFUNCTION("IMPORTRANGE(""https://docs.google.com/spreadsheets/d/1XL5vhW3sbDhbH9Cz0tuDiY8C3ctxq1tqvaCgkFb8cCA/edit?usp=sharing"",""ยโสธร!I520"")"),0)</f>
        <v>0</v>
      </c>
      <c r="J625" s="190">
        <f ca="1">IFERROR(__xludf.DUMMYFUNCTION("IMPORTRANGE(""https://docs.google.com/spreadsheets/d/1XL5vhW3sbDhbH9Cz0tuDiY8C3ctxq1tqvaCgkFb8cCA/edit?usp=sharing"",""ยโสธร!J520"")"),0)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IFERROR(__xludf.DUMMYFUNCTION("IMPORTRANGE(""https://docs.google.com/spreadsheets/d/1XL5vhW3sbDhbH9Cz0tuDiY8C3ctxq1tqvaCgkFb8cCA/edit?usp=sharing"",""ยโสธร!I521"")"),0)</f>
        <v>0</v>
      </c>
      <c r="J626" s="190">
        <f ca="1">IFERROR(__xludf.DUMMYFUNCTION("IMPORTRANGE(""https://docs.google.com/spreadsheets/d/1XL5vhW3sbDhbH9Cz0tuDiY8C3ctxq1tqvaCgkFb8cCA/edit?usp=sharing"",""ยโสธร!J521"")"),0)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1">
        <f ca="1">IFERROR(__xludf.DUMMYFUNCTION("IMPORTRANGE(""https://docs.google.com/spreadsheets/d/1XL5vhW3sbDhbH9Cz0tuDiY8C3ctxq1tqvaCgkFb8cCA/edit?usp=sharing"",""ยโสธร!J523"")"),1519478.84)</f>
        <v>1519478.84</v>
      </c>
      <c r="K628" s="342">
        <f t="shared" ref="K628:K635" ca="1" si="129">IF(I628&gt;0,J628*100/I628,0)</f>
        <v>24.329448329866352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IFERROR(__xludf.DUMMYFUNCTION("IMPORTRANGE(""https://docs.google.com/spreadsheets/d/1XL5vhW3sbDhbH9Cz0tuDiY8C3ctxq1tqvaCgkFb8cCA/edit?usp=sharing"",""ยโสธร!I524"")"),625)</f>
        <v>625</v>
      </c>
      <c r="J629" s="341">
        <f ca="1">IFERROR(__xludf.DUMMYFUNCTION("IMPORTRANGE(""https://docs.google.com/spreadsheets/d/1XL5vhW3sbDhbH9Cz0tuDiY8C3ctxq1tqvaCgkFb8cCA/edit?usp=sharing"",""ยโสธร!J524"")"),153)</f>
        <v>153</v>
      </c>
      <c r="K629" s="342">
        <f t="shared" ca="1" si="129"/>
        <v>24.48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IFERROR(__xludf.DUMMYFUNCTION("IMPORTRANGE(""https://docs.google.com/spreadsheets/d/1XL5vhW3sbDhbH9Cz0tuDiY8C3ctxq1tqvaCgkFb8cCA/edit?usp=sharing"",""ยโสธร!I525"")"),4584633.55)</f>
        <v>4584633.55</v>
      </c>
      <c r="J630" s="341">
        <f ca="1">IFERROR(__xludf.DUMMYFUNCTION("IMPORTRANGE(""https://docs.google.com/spreadsheets/d/1XL5vhW3sbDhbH9Cz0tuDiY8C3ctxq1tqvaCgkFb8cCA/edit?usp=sharing"",""ยโสธร!J525"")"),515763.74)</f>
        <v>515763.74</v>
      </c>
      <c r="K630" s="342">
        <f t="shared" ca="1" si="129"/>
        <v>11.24983566025686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IFERROR(__xludf.DUMMYFUNCTION("IMPORTRANGE(""https://docs.google.com/spreadsheets/d/1XL5vhW3sbDhbH9Cz0tuDiY8C3ctxq1tqvaCgkFb8cCA/edit?usp=sharing"",""ยโสธร!I526"")"),275)</f>
        <v>275</v>
      </c>
      <c r="J631" s="341">
        <f ca="1">IFERROR(__xludf.DUMMYFUNCTION("IMPORTRANGE(""https://docs.google.com/spreadsheets/d/1XL5vhW3sbDhbH9Cz0tuDiY8C3ctxq1tqvaCgkFb8cCA/edit?usp=sharing"",""ยโสธร!J526"")"),101)</f>
        <v>101</v>
      </c>
      <c r="K631" s="342">
        <f t="shared" ca="1" si="129"/>
        <v>36.727272727272727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IFERROR(__xludf.DUMMYFUNCTION("IMPORTRANGE(""https://docs.google.com/spreadsheets/d/1XL5vhW3sbDhbH9Cz0tuDiY8C3ctxq1tqvaCgkFb8cCA/edit?usp=sharing"",""ยโสธร!I527"")"),0)</f>
        <v>0</v>
      </c>
      <c r="J632" s="341">
        <f ca="1">IFERROR(__xludf.DUMMYFUNCTION("IMPORTRANGE(""https://docs.google.com/spreadsheets/d/1XL5vhW3sbDhbH9Cz0tuDiY8C3ctxq1tqvaCgkFb8cCA/edit?usp=sharing"",""ยโสธร!J527"")"),69871.78)</f>
        <v>69871.78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IFERROR(__xludf.DUMMYFUNCTION("IMPORTRANGE(""https://docs.google.com/spreadsheets/d/1XL5vhW3sbDhbH9Cz0tuDiY8C3ctxq1tqvaCgkFb8cCA/edit?usp=sharing"",""ยโสธร!I528"")"),0)</f>
        <v>0</v>
      </c>
      <c r="J633" s="341">
        <f ca="1">IFERROR(__xludf.DUMMYFUNCTION("IMPORTRANGE(""https://docs.google.com/spreadsheets/d/1XL5vhW3sbDhbH9Cz0tuDiY8C3ctxq1tqvaCgkFb8cCA/edit?usp=sharing"",""ยโสธร!J528"")"),3)</f>
        <v>3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IFERROR(__xludf.DUMMYFUNCTION("IMPORTRANGE(""https://docs.google.com/spreadsheets/d/1XL5vhW3sbDhbH9Cz0tuDiY8C3ctxq1tqvaCgkFb8cCA/edit?usp=sharing"",""ยโสธร!I529"")"),7700000)</f>
        <v>7700000</v>
      </c>
      <c r="J634" s="341">
        <f ca="1">IFERROR(__xludf.DUMMYFUNCTION("IMPORTRANGE(""https://docs.google.com/spreadsheets/d/1XL5vhW3sbDhbH9Cz0tuDiY8C3ctxq1tqvaCgkFb8cCA/edit?usp=sharing"",""ยโสธร!J529"")"),0)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IFERROR(__xludf.DUMMYFUNCTION("IMPORTRANGE(""https://docs.google.com/spreadsheets/d/1XL5vhW3sbDhbH9Cz0tuDiY8C3ctxq1tqvaCgkFb8cCA/edit?usp=sharing"",""ยโสธร!I530"")"),300)</f>
        <v>300</v>
      </c>
      <c r="J635" s="504">
        <f ca="1">IFERROR(__xludf.DUMMYFUNCTION("IMPORTRANGE(""https://docs.google.com/spreadsheets/d/1XL5vhW3sbDhbH9Cz0tuDiY8C3ctxq1tqvaCgkFb8cCA/edit?usp=sharing"",""ยโสธร!J530"")"),0)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258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6951143</v>
      </c>
      <c r="M8" s="23">
        <f t="shared" ca="1" si="0"/>
        <v>2283875</v>
      </c>
      <c r="N8" s="23">
        <f t="shared" ca="1" si="0"/>
        <v>2705998.77</v>
      </c>
      <c r="O8" s="22">
        <f t="shared" ref="O8:O16" ca="1" si="1">IF(L8&gt;0,N8*100/L8,0)</f>
        <v>38.928831848229855</v>
      </c>
      <c r="P8" s="22">
        <f t="shared" ref="P8:P16" ca="1" si="2">IF(M8&gt;0,N8*100/M8,0)</f>
        <v>118.48278780581249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6951143</v>
      </c>
      <c r="M10" s="30">
        <f t="shared" ca="1" si="4"/>
        <v>2283875</v>
      </c>
      <c r="N10" s="30">
        <f t="shared" ca="1" si="4"/>
        <v>2705998.77</v>
      </c>
      <c r="O10" s="29">
        <f t="shared" ca="1" si="1"/>
        <v>38.928831848229855</v>
      </c>
      <c r="P10" s="29">
        <f t="shared" ca="1" si="2"/>
        <v>118.48278780581249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6767143</v>
      </c>
      <c r="M12" s="38">
        <f t="shared" ca="1" si="6"/>
        <v>2099875</v>
      </c>
      <c r="N12" s="38">
        <f t="shared" ca="1" si="6"/>
        <v>2521998.77</v>
      </c>
      <c r="O12" s="38">
        <f t="shared" ca="1" si="1"/>
        <v>37.268294315636602</v>
      </c>
      <c r="P12" s="38">
        <f t="shared" ca="1" si="2"/>
        <v>120.10232847193285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4226043</v>
      </c>
      <c r="M14" s="38">
        <f t="shared" si="8"/>
        <v>0</v>
      </c>
      <c r="N14" s="38">
        <f t="shared" ca="1" si="8"/>
        <v>772779.77</v>
      </c>
      <c r="O14" s="38">
        <f t="shared" ca="1" si="1"/>
        <v>18.286131258011334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4064990</v>
      </c>
      <c r="M18" s="23">
        <f t="shared" ca="1" si="11"/>
        <v>2283875</v>
      </c>
      <c r="N18" s="23">
        <f t="shared" ca="1" si="11"/>
        <v>1933219</v>
      </c>
      <c r="O18" s="22">
        <f t="shared" ref="O18:O20" ca="1" si="12">IF(L18&gt;0,N18*100/L18,0)</f>
        <v>47.557779969938423</v>
      </c>
      <c r="P18" s="22">
        <f t="shared" ref="P18:P26" ca="1" si="13">IF(M18&gt;0,N18*100/M18,0)</f>
        <v>84.646445186360893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4064990</v>
      </c>
      <c r="M20" s="30">
        <f t="shared" ca="1" si="15"/>
        <v>2283875</v>
      </c>
      <c r="N20" s="30">
        <f t="shared" ca="1" si="15"/>
        <v>1933219</v>
      </c>
      <c r="O20" s="29">
        <f t="shared" ca="1" si="12"/>
        <v>47.557779969938423</v>
      </c>
      <c r="P20" s="29">
        <f t="shared" ca="1" si="13"/>
        <v>84.646445186360893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3880990</v>
      </c>
      <c r="M22" s="41">
        <f t="shared" ca="1" si="18"/>
        <v>2099875</v>
      </c>
      <c r="N22" s="38">
        <f t="shared" ca="1" si="18"/>
        <v>1749219</v>
      </c>
      <c r="O22" s="38">
        <f t="shared" ca="1" si="17"/>
        <v>45.071463724462056</v>
      </c>
      <c r="P22" s="38">
        <f t="shared" ca="1" si="13"/>
        <v>83.301101256027138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1339890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2886153</v>
      </c>
      <c r="M28" s="23">
        <f t="shared" si="23"/>
        <v>0</v>
      </c>
      <c r="N28" s="23">
        <f t="shared" ca="1" si="23"/>
        <v>772779.77</v>
      </c>
      <c r="O28" s="22">
        <f t="shared" ref="O28:O30" ca="1" si="24">IF(L28&gt;0,N28*100/L28,0)</f>
        <v>26.775426320087675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2886153</v>
      </c>
      <c r="M30" s="30">
        <f t="shared" si="27"/>
        <v>0</v>
      </c>
      <c r="N30" s="30">
        <f t="shared" ca="1" si="27"/>
        <v>772779.77</v>
      </c>
      <c r="O30" s="29">
        <f t="shared" ca="1" si="24"/>
        <v>26.775426320087675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2886153</v>
      </c>
      <c r="M32" s="38">
        <f t="shared" si="30"/>
        <v>0</v>
      </c>
      <c r="N32" s="38">
        <f t="shared" ca="1" si="30"/>
        <v>772779.77</v>
      </c>
      <c r="O32" s="38">
        <f t="shared" ca="1" si="29"/>
        <v>26.775426320087675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2886153</v>
      </c>
      <c r="M34" s="38">
        <f t="shared" si="32"/>
        <v>0</v>
      </c>
      <c r="N34" s="38">
        <f t="shared" ca="1" si="32"/>
        <v>772779.77</v>
      </c>
      <c r="O34" s="38">
        <f t="shared" ca="1" si="29"/>
        <v>26.775426320087675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4064990</v>
      </c>
      <c r="M37" s="54">
        <f t="shared" ca="1" si="33"/>
        <v>2283875</v>
      </c>
      <c r="N37" s="54">
        <f t="shared" ca="1" si="33"/>
        <v>1933219</v>
      </c>
      <c r="O37" s="55">
        <f t="shared" ca="1" si="29"/>
        <v>47.557779969938423</v>
      </c>
      <c r="P37" s="55">
        <f t="shared" ca="1" si="25"/>
        <v>84.646445186360893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452000</v>
      </c>
      <c r="N41" s="78">
        <f t="shared" ca="1" si="34"/>
        <v>374954</v>
      </c>
      <c r="O41" s="77">
        <f t="shared" ref="O41:O43" ca="1" si="35">IF(L41&gt;0,N41*100/L41,0)</f>
        <v>41.47262470965601</v>
      </c>
      <c r="P41" s="77">
        <f t="shared" ref="P41:P43" ca="1" si="36">IF(M41&gt;0,N41*100/M41,0)</f>
        <v>82.954424778761066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452000</v>
      </c>
      <c r="N43" s="78">
        <f t="shared" ca="1" si="38"/>
        <v>374954</v>
      </c>
      <c r="O43" s="77">
        <f t="shared" ca="1" si="35"/>
        <v>41.47262470965601</v>
      </c>
      <c r="P43" s="77">
        <f t="shared" ca="1" si="36"/>
        <v>82.954424778761066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533">
        <f ca="1">IFERROR(__xludf.DUMMYFUNCTION("IMPORTRANGE(""https://docs.google.com/spreadsheets/d/1Yj_ptqi66GCucihVvJfMjLAmec39IyEx_6qawtMGysU/edit?usp=sharing"",""สบก!Q48"")"),452000)</f>
        <v>452000</v>
      </c>
      <c r="N45" s="533">
        <f ca="1">IFERROR(__xludf.DUMMYFUNCTION("IMPORTRANGE(""https://docs.google.com/spreadsheets/d/1Yj_ptqi66GCucihVvJfMjLAmec39IyEx_6qawtMGysU/edit?usp=sharing"",""สบก!R48"")"),374954)</f>
        <v>374954</v>
      </c>
      <c r="O45" s="534">
        <f ca="1">IF(L45&gt;0,N45*100/L45,0)</f>
        <v>41.47262470965601</v>
      </c>
      <c r="P45" s="534">
        <f ca="1">IF(M45&gt;0,N45*100/M45,0)</f>
        <v>82.954424778761066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IFERROR(__xludf.DUMMYFUNCTION("IMPORTRANGE(""https://docs.google.com/spreadsheets/d/1Yj_ptqi66GCucihVvJfMjLAmec39IyEx_6qawtMGysU/edit?usp=sharing"",""สบก!M48"")"),904100)</f>
        <v>904100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IFERROR(__xludf.DUMMYFUNCTION("IMPORTRANGE(""https://docs.google.com/spreadsheets/d/1Yj_ptqi66GCucihVvJfMjLAmec39IyEx_6qawtMGysU/edit?usp=sharing"",""สบก!N48"")"),0)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IFERROR(__xludf.DUMMYFUNCTION("IMPORTRANGE(""https://docs.google.com/spreadsheets/d/1Yj_ptqi66GCucihVvJfMjLAmec39IyEx_6qawtMGysU/edit?usp=sharing"",""สบก!O48"")"),0)</f>
        <v>0</v>
      </c>
      <c r="M49" s="536"/>
      <c r="N49" s="533">
        <f ca="1">IFERROR(__xludf.DUMMYFUNCTION("IMPORTRANGE(""https://docs.google.com/spreadsheets/d/1Yj_ptqi66GCucihVvJfMjLAmec39IyEx_6qawtMGysU/edit?usp=sharing"",""สบก!S48"")"),0)</f>
        <v>0</v>
      </c>
      <c r="O49" s="536">
        <f ca="1">IF(L49&gt;0,N49*100/L49,0)</f>
        <v>0</v>
      </c>
      <c r="P49" s="53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509575</v>
      </c>
      <c r="N53" s="121">
        <f t="shared" ca="1" si="39"/>
        <v>380866</v>
      </c>
      <c r="O53" s="120">
        <f t="shared" ref="O53:O55" ca="1" si="40">IF(L53&gt;0,N53*100/L53,0)</f>
        <v>38.895629084967318</v>
      </c>
      <c r="P53" s="120">
        <f t="shared" ref="P53:P55" ca="1" si="41">IF(M53&gt;0,N53*100/M53,0)</f>
        <v>74.741892753765399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509575</v>
      </c>
      <c r="N55" s="121">
        <f t="shared" ca="1" si="43"/>
        <v>380866</v>
      </c>
      <c r="O55" s="120">
        <f t="shared" ca="1" si="40"/>
        <v>38.895629084967318</v>
      </c>
      <c r="P55" s="120">
        <f t="shared" ca="1" si="41"/>
        <v>74.741892753765399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533">
        <f ca="1">IFERROR(__xludf.DUMMYFUNCTION("IMPORTRANGE(""https://docs.google.com/spreadsheets/d/1Yj_ptqi66GCucihVvJfMjLAmec39IyEx_6qawtMGysU/edit?usp=sharing"",""สบก!Z48"")"),509575)</f>
        <v>509575</v>
      </c>
      <c r="N57" s="533">
        <f ca="1">IFERROR(__xludf.DUMMYFUNCTION("IMPORTRANGE(""https://docs.google.com/spreadsheets/d/1Yj_ptqi66GCucihVvJfMjLAmec39IyEx_6qawtMGysU/edit?usp=sharing"",""สบก!AA48"")"),380866)</f>
        <v>380866</v>
      </c>
      <c r="O57" s="534">
        <f ca="1">IF(L57&gt;0,N57*100/L57,0)</f>
        <v>38.895629084967318</v>
      </c>
      <c r="P57" s="534">
        <f ca="1">IF(M57&gt;0,N57*100/M57,0)</f>
        <v>74.741892753765399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IFERROR(__xludf.DUMMYFUNCTION("IMPORTRANGE(""https://docs.google.com/spreadsheets/d/1Yj_ptqi66GCucihVvJfMjLAmec39IyEx_6qawtMGysU/edit?usp=sharing"",""สบก!V48"")"),979200)</f>
        <v>979200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IFERROR(__xludf.DUMMYFUNCTION("IMPORTRANGE(""https://docs.google.com/spreadsheets/d/1Yj_ptqi66GCucihVvJfMjLAmec39IyEx_6qawtMGysU/edit?usp=sharing"",""สบก!W48"")"),0)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IFERROR(__xludf.DUMMYFUNCTION("IMPORTRANGE(""https://docs.google.com/spreadsheets/d/1Yj_ptqi66GCucihVvJfMjLAmec39IyEx_6qawtMGysU/edit?usp=sharing"",""สบก!X48"")"),0)</f>
        <v>0</v>
      </c>
      <c r="M61" s="536"/>
      <c r="N61" s="533">
        <f ca="1">IFERROR(__xludf.DUMMYFUNCTION("IMPORTRANGE(""https://docs.google.com/spreadsheets/d/1Yj_ptqi66GCucihVvJfMjLAmec39IyEx_6qawtMGysU/edit?usp=sharing"",""สบก!AB48"")"),0)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480320</v>
      </c>
      <c r="N66" s="152">
        <f t="shared" ca="1" si="45"/>
        <v>473970</v>
      </c>
      <c r="O66" s="151">
        <f t="shared" ref="O66:O68" ca="1" si="46">IF(L66&gt;0,N66*100/L66,0)</f>
        <v>53.411088573360381</v>
      </c>
      <c r="P66" s="151">
        <f t="shared" ref="P66:P68" ca="1" si="47">IF(M66&gt;0,N66*100/M66,0)</f>
        <v>98.677964690206522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480320</v>
      </c>
      <c r="N68" s="157">
        <f t="shared" ca="1" si="49"/>
        <v>473970</v>
      </c>
      <c r="O68" s="156">
        <f t="shared" ca="1" si="46"/>
        <v>53.411088573360381</v>
      </c>
      <c r="P68" s="156">
        <f t="shared" ca="1" si="47"/>
        <v>98.677964690206522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887400</v>
      </c>
      <c r="M70" s="537">
        <f ca="1">IFERROR(__xludf.DUMMYFUNCTION("IMPORTRANGE(""https://docs.google.com/spreadsheets/d/1Yj_ptqi66GCucihVvJfMjLAmec39IyEx_6qawtMGysU/edit?usp=sharing"",""สบก!AI48"")"),480320)</f>
        <v>480320</v>
      </c>
      <c r="N70" s="538">
        <f ca="1">IFERROR(__xludf.DUMMYFUNCTION("IMPORTRANGE(""https://docs.google.com/spreadsheets/d/1Yj_ptqi66GCucihVvJfMjLAmec39IyEx_6qawtMGysU/edit?usp=sharing"",""สบก!AJ48"")"),473970)</f>
        <v>473970</v>
      </c>
      <c r="O70" s="170">
        <f ca="1">IF(L70&gt;0,N70*100/L70,0)</f>
        <v>53.411088573360381</v>
      </c>
      <c r="P70" s="170">
        <f ca="1">IF(M70&gt;0,N70*100/M70,0)</f>
        <v>98.677964690206522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IFERROR(__xludf.DUMMYFUNCTION("IMPORTRANGE(""https://docs.google.com/spreadsheets/d/1Yj_ptqi66GCucihVvJfMjLAmec39IyEx_6qawtMGysU/edit?usp=sharing"",""สบก!AE48"")"),463400)</f>
        <v>463400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IFERROR(__xludf.DUMMYFUNCTION("IMPORTRANGE(""https://docs.google.com/spreadsheets/d/1Yj_ptqi66GCucihVvJfMjLAmec39IyEx_6qawtMGysU/edit?usp=sharing"",""สบก!AF48"")"),424000)</f>
        <v>424000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IFERROR(__xludf.DUMMYFUNCTION("IMPORTRANGE(""https://docs.google.com/spreadsheets/d/1Yj_ptqi66GCucihVvJfMjLAmec39IyEx_6qawtMGysU/edit?usp=sharing"",""สบก!AG48"")"),0)</f>
        <v>0</v>
      </c>
      <c r="M74" s="536"/>
      <c r="N74" s="533">
        <f ca="1">IFERROR(__xludf.DUMMYFUNCTION("IMPORTRANGE(""https://docs.google.com/spreadsheets/d/1Yj_ptqi66GCucihVvJfMjLAmec39IyEx_6qawtMGysU/edit?usp=sharing"",""สบก!AK48"")"),0)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IFERROR(__xludf.DUMMYFUNCTION("IMPORTRANGE(""https://docs.google.com/spreadsheets/d/1XL5vhW3sbDhbH9Cz0tuDiY8C3ctxq1tqvaCgkFb8cCA/edit?usp=sharing"",""ร้อยเอ็ด!J16"")"),0)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IFERROR(__xludf.DUMMYFUNCTION("IMPORTRANGE(""https://docs.google.com/spreadsheets/d/1XL5vhW3sbDhbH9Cz0tuDiY8C3ctxq1tqvaCgkFb8cCA/edit?usp=sharing"",""ร้อยเอ็ด!J17"")"),1)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IFERROR(__xludf.DUMMYFUNCTION("IMPORTRANGE(""https://docs.google.com/spreadsheets/d/1XL5vhW3sbDhbH9Cz0tuDiY8C3ctxq1tqvaCgkFb8cCA/edit?usp=sharing"",""ร้อยเอ็ด!J18"")"),1)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IFERROR(__xludf.DUMMYFUNCTION("IMPORTRANGE(""https://docs.google.com/spreadsheets/d/1XL5vhW3sbDhbH9Cz0tuDiY8C3ctxq1tqvaCgkFb8cCA/edit?usp=sharing"",""ร้อยเอ็ด!J19"")"),1)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IFERROR(__xludf.DUMMYFUNCTION("IMPORTRANGE(""https://docs.google.com/spreadsheets/d/1XL5vhW3sbDhbH9Cz0tuDiY8C3ctxq1tqvaCgkFb8cCA/edit?usp=sharing"",""ร้อยเอ็ด!I20"")"),1)</f>
        <v>1</v>
      </c>
      <c r="J80" s="202">
        <f ca="1">IFERROR(__xludf.DUMMYFUNCTION("IMPORTRANGE(""https://docs.google.com/spreadsheets/d/1XL5vhW3sbDhbH9Cz0tuDiY8C3ctxq1tqvaCgkFb8cCA/edit?usp=sharing"",""ร้อยเอ็ด!J20"")"),1)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IFERROR(__xludf.DUMMYFUNCTION("IMPORTRANGE(""https://docs.google.com/spreadsheets/d/1XL5vhW3sbDhbH9Cz0tuDiY8C3ctxq1tqvaCgkFb8cCA/edit?usp=sharing"",""ร้อยเอ็ด!I21"")"),40)</f>
        <v>40</v>
      </c>
      <c r="J81" s="202">
        <f ca="1">IFERROR(__xludf.DUMMYFUNCTION("IMPORTRANGE(""https://docs.google.com/spreadsheets/d/1XL5vhW3sbDhbH9Cz0tuDiY8C3ctxq1tqvaCgkFb8cCA/edit?usp=sharing"",""ร้อยเอ็ด!J21"")"),40)</f>
        <v>40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IFERROR(__xludf.DUMMYFUNCTION("IMPORTRANGE(""https://docs.google.com/spreadsheets/d/1XL5vhW3sbDhbH9Cz0tuDiY8C3ctxq1tqvaCgkFb8cCA/edit?usp=sharing"",""ร้อยเอ็ด!I22"")"),0)</f>
        <v>0</v>
      </c>
      <c r="J82" s="205">
        <f ca="1">IFERROR(__xludf.DUMMYFUNCTION("IMPORTRANGE(""https://docs.google.com/spreadsheets/d/1XL5vhW3sbDhbH9Cz0tuDiY8C3ctxq1tqvaCgkFb8cCA/edit?usp=sharing"",""ร้อยเอ็ด!J22"")"),0)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IFERROR(__xludf.DUMMYFUNCTION("IMPORTRANGE(""https://docs.google.com/spreadsheets/d/1XL5vhW3sbDhbH9Cz0tuDiY8C3ctxq1tqvaCgkFb8cCA/edit?usp=sharing"",""ร้อยเอ็ด!I23"")"),0)</f>
        <v>0</v>
      </c>
      <c r="J83" s="205">
        <f ca="1">IFERROR(__xludf.DUMMYFUNCTION("IMPORTRANGE(""https://docs.google.com/spreadsheets/d/1XL5vhW3sbDhbH9Cz0tuDiY8C3ctxq1tqvaCgkFb8cCA/edit?usp=sharing"",""ร้อยเอ็ด!J23"")"),0)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IFERROR(__xludf.DUMMYFUNCTION("IMPORTRANGE(""https://docs.google.com/spreadsheets/d/1XL5vhW3sbDhbH9Cz0tuDiY8C3ctxq1tqvaCgkFb8cCA/edit?usp=sharing"",""ร้อยเอ็ด!I24"")"),1)</f>
        <v>1</v>
      </c>
      <c r="J84" s="190">
        <f ca="1">IFERROR(__xludf.DUMMYFUNCTION("IMPORTRANGE(""https://docs.google.com/spreadsheets/d/1XL5vhW3sbDhbH9Cz0tuDiY8C3ctxq1tqvaCgkFb8cCA/edit?usp=sharing"",""ร้อยเอ็ด!J24"")"),1)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IFERROR(__xludf.DUMMYFUNCTION("IMPORTRANGE(""https://docs.google.com/spreadsheets/d/1XL5vhW3sbDhbH9Cz0tuDiY8C3ctxq1tqvaCgkFb8cCA/edit?usp=sharing"",""ร้อยเอ็ด!I25"")"),40)</f>
        <v>40</v>
      </c>
      <c r="J85" s="190">
        <f ca="1">IFERROR(__xludf.DUMMYFUNCTION("IMPORTRANGE(""https://docs.google.com/spreadsheets/d/1XL5vhW3sbDhbH9Cz0tuDiY8C3ctxq1tqvaCgkFb8cCA/edit?usp=sharing"",""ร้อยเอ็ด!J25"")"),40)</f>
        <v>40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IFERROR(__xludf.DUMMYFUNCTION("IMPORTRANGE(""https://docs.google.com/spreadsheets/d/1XL5vhW3sbDhbH9Cz0tuDiY8C3ctxq1tqvaCgkFb8cCA/edit?usp=sharing"",""ร้อยเอ็ด!I26"")"),0)</f>
        <v>0</v>
      </c>
      <c r="J86" s="205">
        <f ca="1">IFERROR(__xludf.DUMMYFUNCTION("IMPORTRANGE(""https://docs.google.com/spreadsheets/d/1XL5vhW3sbDhbH9Cz0tuDiY8C3ctxq1tqvaCgkFb8cCA/edit?usp=sharing"",""ร้อยเอ็ด!J26"")"),0)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IFERROR(__xludf.DUMMYFUNCTION("IMPORTRANGE(""https://docs.google.com/spreadsheets/d/1XL5vhW3sbDhbH9Cz0tuDiY8C3ctxq1tqvaCgkFb8cCA/edit?usp=sharing"",""ร้อยเอ็ด!I27"")"),0)</f>
        <v>0</v>
      </c>
      <c r="J87" s="205">
        <f ca="1">IFERROR(__xludf.DUMMYFUNCTION("IMPORTRANGE(""https://docs.google.com/spreadsheets/d/1XL5vhW3sbDhbH9Cz0tuDiY8C3ctxq1tqvaCgkFb8cCA/edit?usp=sharing"",""ร้อยเอ็ด!J27"")"),0)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IFERROR(__xludf.DUMMYFUNCTION("IMPORTRANGE(""https://docs.google.com/spreadsheets/d/1XL5vhW3sbDhbH9Cz0tuDiY8C3ctxq1tqvaCgkFb8cCA/edit?usp=sharing"",""ร้อยเอ็ด!I28"")"),0)</f>
        <v>0</v>
      </c>
      <c r="J88" s="205">
        <f ca="1">IFERROR(__xludf.DUMMYFUNCTION("IMPORTRANGE(""https://docs.google.com/spreadsheets/d/1XL5vhW3sbDhbH9Cz0tuDiY8C3ctxq1tqvaCgkFb8cCA/edit?usp=sharing"",""ร้อยเอ็ด!J28"")"),0)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IFERROR(__xludf.DUMMYFUNCTION("IMPORTRANGE(""https://docs.google.com/spreadsheets/d/1XL5vhW3sbDhbH9Cz0tuDiY8C3ctxq1tqvaCgkFb8cCA/edit?usp=sharing"",""ร้อยเอ็ด!J29"")"),1)</f>
        <v>1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IFERROR(__xludf.DUMMYFUNCTION("IMPORTRANGE(""https://docs.google.com/spreadsheets/d/1Yj_ptqi66GCucihVvJfMjLAmec39IyEx_6qawtMGysU/edit?usp=sharing"",""สบก!AR48"")"),0)</f>
        <v>0</v>
      </c>
      <c r="N98" s="538">
        <f ca="1">IFERROR(__xludf.DUMMYFUNCTION("IMPORTRANGE(""https://docs.google.com/spreadsheets/d/1Yj_ptqi66GCucihVvJfMjLAmec39IyEx_6qawtMGysU/edit?usp=sharing"",""สบก!AS48"")"),0)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IFERROR(__xludf.DUMMYFUNCTION("IMPORTRANGE(""https://docs.google.com/spreadsheets/d/1Yj_ptqi66GCucihVvJfMjLAmec39IyEx_6qawtMGysU/edit?usp=sharing"",""สบก!AN48"")"),0)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IFERROR(__xludf.DUMMYFUNCTION("IMPORTRANGE(""https://docs.google.com/spreadsheets/d/1Yj_ptqi66GCucihVvJfMjLAmec39IyEx_6qawtMGysU/edit?usp=sharing"",""สบก!AO48"")"),0)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IFERROR(__xludf.DUMMYFUNCTION("IMPORTRANGE(""https://docs.google.com/spreadsheets/d/1Yj_ptqi66GCucihVvJfMjLAmec39IyEx_6qawtMGysU/edit?usp=sharing"",""สบก!AP48"")"),0)</f>
        <v>0</v>
      </c>
      <c r="M102" s="536"/>
      <c r="N102" s="533">
        <f ca="1">IFERROR(__xludf.DUMMYFUNCTION("IMPORTRANGE(""https://docs.google.com/spreadsheets/d/1Yj_ptqi66GCucihVvJfMjLAmec39IyEx_6qawtMGysU/edit?usp=sharing"",""สบก!AT48"")"),0)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IFERROR(__xludf.DUMMYFUNCTION("IMPORTRANGE(""https://docs.google.com/spreadsheets/d/1XL5vhW3sbDhbH9Cz0tuDiY8C3ctxq1tqvaCgkFb8cCA/edit?usp=sharing"",""ร้อยเอ็ด!I43"")"),0)</f>
        <v>0</v>
      </c>
      <c r="J108" s="205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IFERROR(__xludf.DUMMYFUNCTION("IMPORTRANGE(""https://docs.google.com/spreadsheets/d/1XL5vhW3sbDhbH9Cz0tuDiY8C3ctxq1tqvaCgkFb8cCA/edit?usp=sharing"",""ร้อยเอ็ด!I44"")"),0)</f>
        <v>0</v>
      </c>
      <c r="J109" s="205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IFERROR(__xludf.DUMMYFUNCTION("IMPORTRANGE(""https://docs.google.com/spreadsheets/d/1XL5vhW3sbDhbH9Cz0tuDiY8C3ctxq1tqvaCgkFb8cCA/edit?usp=sharing"",""ร้อยเอ็ด!I45"")"),0)</f>
        <v>0</v>
      </c>
      <c r="J110" s="205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IFERROR(__xludf.DUMMYFUNCTION("IMPORTRANGE(""https://docs.google.com/spreadsheets/d/1XL5vhW3sbDhbH9Cz0tuDiY8C3ctxq1tqvaCgkFb8cCA/edit?usp=sharing"",""ร้อยเอ็ด!I46"")"),0)</f>
        <v>0</v>
      </c>
      <c r="J111" s="205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IFERROR(__xludf.DUMMYFUNCTION("IMPORTRANGE(""https://docs.google.com/spreadsheets/d/1XL5vhW3sbDhbH9Cz0tuDiY8C3ctxq1tqvaCgkFb8cCA/edit?usp=sharing"",""ร้อยเอ็ด!I47"")"),0)</f>
        <v>0</v>
      </c>
      <c r="J112" s="205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IFERROR(__xludf.DUMMYFUNCTION("IMPORTRANGE(""https://docs.google.com/spreadsheets/d/1XL5vhW3sbDhbH9Cz0tuDiY8C3ctxq1tqvaCgkFb8cCA/edit?usp=sharing"",""ร้อยเอ็ด!I48"")"),0)</f>
        <v>0</v>
      </c>
      <c r="J113" s="205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IFERROR(__xludf.DUMMYFUNCTION("IMPORTRANGE(""https://docs.google.com/spreadsheets/d/1Yj_ptqi66GCucihVvJfMjLAmec39IyEx_6qawtMGysU/edit?usp=sharing"",""สบก!BA48"")"),0)</f>
        <v>0</v>
      </c>
      <c r="N122" s="538">
        <f ca="1">IFERROR(__xludf.DUMMYFUNCTION("IMPORTRANGE(""https://docs.google.com/spreadsheets/d/1Yj_ptqi66GCucihVvJfMjLAmec39IyEx_6qawtMGysU/edit?usp=sharing"",""สบก!BB48"")"),0)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IFERROR(__xludf.DUMMYFUNCTION("IMPORTRANGE(""https://docs.google.com/spreadsheets/d/1Yj_ptqi66GCucihVvJfMjLAmec39IyEx_6qawtMGysU/edit?usp=sharing"",""สบก!AW48"")"),0)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IFERROR(__xludf.DUMMYFUNCTION("IMPORTRANGE(""https://docs.google.com/spreadsheets/d/1Yj_ptqi66GCucihVvJfMjLAmec39IyEx_6qawtMGysU/edit?usp=sharing"",""สบก!AX48"")"),0)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IFERROR(__xludf.DUMMYFUNCTION("IMPORTRANGE(""https://docs.google.com/spreadsheets/d/1Yj_ptqi66GCucihVvJfMjLAmec39IyEx_6qawtMGysU/edit?usp=sharing"",""สบก!AY48"")"),0)</f>
        <v>0</v>
      </c>
      <c r="M126" s="536"/>
      <c r="N126" s="533">
        <f ca="1">IFERROR(__xludf.DUMMYFUNCTION("IMPORTRANGE(""https://docs.google.com/spreadsheets/d/1Yj_ptqi66GCucihVvJfMjLAmec39IyEx_6qawtMGysU/edit?usp=sharing"",""สบก!BC48"")"),0)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259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IFERROR(__xludf.DUMMYFUNCTION("IMPORTRANGE(""https://docs.google.com/spreadsheets/d/1XL5vhW3sbDhbH9Cz0tuDiY8C3ctxq1tqvaCgkFb8cCA/edit?usp=sharing"",""ร้อยเอ็ด!I62"")"),0)</f>
        <v>0</v>
      </c>
      <c r="J132" s="205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IFERROR(__xludf.DUMMYFUNCTION("IMPORTRANGE(""https://docs.google.com/spreadsheets/d/1XL5vhW3sbDhbH9Cz0tuDiY8C3ctxq1tqvaCgkFb8cCA/edit?usp=sharing"",""ร้อยเอ็ด!I63"")"),0)</f>
        <v>0</v>
      </c>
      <c r="J133" s="205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76100</v>
      </c>
      <c r="M140" s="152">
        <f t="shared" ca="1" si="64"/>
        <v>53750</v>
      </c>
      <c r="N140" s="152">
        <f t="shared" ca="1" si="64"/>
        <v>46155</v>
      </c>
      <c r="O140" s="151">
        <f t="shared" ref="O140:O142" ca="1" si="65">IF(L140&gt;0,N140*100/L140,0)</f>
        <v>60.650459921156376</v>
      </c>
      <c r="P140" s="151">
        <f t="shared" ref="P140:P142" ca="1" si="66">IF(M140&gt;0,N140*100/M140,0)</f>
        <v>85.869767441860461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76100</v>
      </c>
      <c r="M142" s="157">
        <f t="shared" ca="1" si="68"/>
        <v>53750</v>
      </c>
      <c r="N142" s="157">
        <f t="shared" ca="1" si="68"/>
        <v>46155</v>
      </c>
      <c r="O142" s="156">
        <f t="shared" ca="1" si="65"/>
        <v>60.650459921156376</v>
      </c>
      <c r="P142" s="156">
        <f t="shared" ca="1" si="66"/>
        <v>85.869767441860461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76100</v>
      </c>
      <c r="M144" s="537">
        <f ca="1">IFERROR(__xludf.DUMMYFUNCTION("IMPORTRANGE(""https://docs.google.com/spreadsheets/d/1Yj_ptqi66GCucihVvJfMjLAmec39IyEx_6qawtMGysU/edit?usp=sharing"",""สบก!BJ48"")"),53750)</f>
        <v>53750</v>
      </c>
      <c r="N144" s="538">
        <f ca="1">IFERROR(__xludf.DUMMYFUNCTION("IMPORTRANGE(""https://docs.google.com/spreadsheets/d/1Yj_ptqi66GCucihVvJfMjLAmec39IyEx_6qawtMGysU/edit?usp=sharing"",""สบก!BK48"")"),46155)</f>
        <v>46155</v>
      </c>
      <c r="O144" s="170">
        <f ca="1">IF(L144&gt;0,N144*100/L144,0)</f>
        <v>60.650459921156376</v>
      </c>
      <c r="P144" s="170">
        <f ca="1">IF(M144&gt;0,N144*100/M144,0)</f>
        <v>85.869767441860461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IFERROR(__xludf.DUMMYFUNCTION("IMPORTRANGE(""https://docs.google.com/spreadsheets/d/1Yj_ptqi66GCucihVvJfMjLAmec39IyEx_6qawtMGysU/edit?usp=sharing"",""สบก!BF48"")"),0)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IFERROR(__xludf.DUMMYFUNCTION("IMPORTRANGE(""https://docs.google.com/spreadsheets/d/1Yj_ptqi66GCucihVvJfMjLAmec39IyEx_6qawtMGysU/edit?usp=sharing"",""สบก!BG48"")"),76100)</f>
        <v>76100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IFERROR(__xludf.DUMMYFUNCTION("IMPORTRANGE(""https://docs.google.com/spreadsheets/d/1Yj_ptqi66GCucihVvJfMjLAmec39IyEx_6qawtMGysU/edit?usp=sharing"",""สบก!BH48"")"),0)</f>
        <v>0</v>
      </c>
      <c r="M148" s="536"/>
      <c r="N148" s="533">
        <f ca="1">IFERROR(__xludf.DUMMYFUNCTION("IMPORTRANGE(""https://docs.google.com/spreadsheets/d/1Yj_ptqi66GCucihVvJfMjLAmec39IyEx_6qawtMGysU/edit?usp=sharing"",""สบก!BL48"")"),0)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IFERROR(__xludf.DUMMYFUNCTION("IMPORTRANGE(""https://docs.google.com/spreadsheets/d/1XL5vhW3sbDhbH9Cz0tuDiY8C3ctxq1tqvaCgkFb8cCA/edit?usp=sharing"",""ร้อยเอ็ด!J79"")"),0)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IFERROR(__xludf.DUMMYFUNCTION("IMPORTRANGE(""https://docs.google.com/spreadsheets/d/1XL5vhW3sbDhbH9Cz0tuDiY8C3ctxq1tqvaCgkFb8cCA/edit?usp=sharing"",""ร้อยเอ็ด!J80"")"),1)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IFERROR(__xludf.DUMMYFUNCTION("IMPORTRANGE(""https://docs.google.com/spreadsheets/d/1XL5vhW3sbDhbH9Cz0tuDiY8C3ctxq1tqvaCgkFb8cCA/edit?usp=sharing"",""ร้อยเอ็ด!J81"")"),1)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IFERROR(__xludf.DUMMYFUNCTION("IMPORTRANGE(""https://docs.google.com/spreadsheets/d/1XL5vhW3sbDhbH9Cz0tuDiY8C3ctxq1tqvaCgkFb8cCA/edit?usp=sharing"",""ร้อยเอ็ด!J82"")"),1)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IFERROR(__xludf.DUMMYFUNCTION("IMPORTRANGE(""https://docs.google.com/spreadsheets/d/1XL5vhW3sbDhbH9Cz0tuDiY8C3ctxq1tqvaCgkFb8cCA/edit?usp=sharing"",""ร้อยเอ็ด!I83"")"),4)</f>
        <v>4</v>
      </c>
      <c r="J158" s="190">
        <f ca="1">IFERROR(__xludf.DUMMYFUNCTION("IMPORTRANGE(""https://docs.google.com/spreadsheets/d/1XL5vhW3sbDhbH9Cz0tuDiY8C3ctxq1tqvaCgkFb8cCA/edit?usp=sharing"",""ร้อยเอ็ด!J83"")"),2)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IFERROR(__xludf.DUMMYFUNCTION("IMPORTRANGE(""https://docs.google.com/spreadsheets/d/1XL5vhW3sbDhbH9Cz0tuDiY8C3ctxq1tqvaCgkFb8cCA/edit?usp=sharing"",""ร้อยเอ็ด!J84"")"),0)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IFERROR(__xludf.DUMMYFUNCTION("IMPORTRANGE(""https://docs.google.com/spreadsheets/d/1XL5vhW3sbDhbH9Cz0tuDiY8C3ctxq1tqvaCgkFb8cCA/edit?usp=sharing"",""ร้อยเอ็ด!J85"")"),0)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IFERROR(__xludf.DUMMYFUNCTION("IMPORTRANGE(""https://docs.google.com/spreadsheets/d/1XL5vhW3sbDhbH9Cz0tuDiY8C3ctxq1tqvaCgkFb8cCA/edit?usp=sharing"",""ร้อยเอ็ด!J86"")"),0)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IFERROR(__xludf.DUMMYFUNCTION("IMPORTRANGE(""https://docs.google.com/spreadsheets/d/1XL5vhW3sbDhbH9Cz0tuDiY8C3ctxq1tqvaCgkFb8cCA/edit?usp=sharing"",""ร้อยเอ็ด!J87"")"),0)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IFERROR(__xludf.DUMMYFUNCTION("IMPORTRANGE(""https://docs.google.com/spreadsheets/d/1XL5vhW3sbDhbH9Cz0tuDiY8C3ctxq1tqvaCgkFb8cCA/edit?usp=sharing"",""ร้อยเอ็ด!I89"")"),3)</f>
        <v>3</v>
      </c>
      <c r="J164" s="284">
        <f ca="1">IFERROR(__xludf.DUMMYFUNCTION("IMPORTRANGE(""https://docs.google.com/spreadsheets/d/1XL5vhW3sbDhbH9Cz0tuDiY8C3ctxq1tqvaCgkFb8cCA/edit?usp=sharing"",""ร้อยเอ็ด!J89"")"),3)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IFERROR(__xludf.DUMMYFUNCTION("IMPORTRANGE(""https://docs.google.com/spreadsheets/d/1XL5vhW3sbDhbH9Cz0tuDiY8C3ctxq1tqvaCgkFb8cCA/edit?usp=sharing"",""ร้อยเอ็ด!J94"")"),0)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IFERROR(__xludf.DUMMYFUNCTION("IMPORTRANGE(""https://docs.google.com/spreadsheets/d/1XL5vhW3sbDhbH9Cz0tuDiY8C3ctxq1tqvaCgkFb8cCA/edit?usp=sharing"",""ร้อยเอ็ด!J95"")"),1)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IFERROR(__xludf.DUMMYFUNCTION("IMPORTRANGE(""https://docs.google.com/spreadsheets/d/1XL5vhW3sbDhbH9Cz0tuDiY8C3ctxq1tqvaCgkFb8cCA/edit?usp=sharing"",""ร้อยเอ็ด!J96"")"),1)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IFERROR(__xludf.DUMMYFUNCTION("IMPORTRANGE(""https://docs.google.com/spreadsheets/d/1XL5vhW3sbDhbH9Cz0tuDiY8C3ctxq1tqvaCgkFb8cCA/edit?usp=sharing"",""ร้อยเอ็ด!J97"")"),1)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IFERROR(__xludf.DUMMYFUNCTION("IMPORTRANGE(""https://docs.google.com/spreadsheets/d/1XL5vhW3sbDhbH9Cz0tuDiY8C3ctxq1tqvaCgkFb8cCA/edit?usp=sharing"",""ร้อยเอ็ด!I98"")"),3)</f>
        <v>3</v>
      </c>
      <c r="J173" s="190">
        <f ca="1">IFERROR(__xludf.DUMMYFUNCTION("IMPORTRANGE(""https://docs.google.com/spreadsheets/d/1XL5vhW3sbDhbH9Cz0tuDiY8C3ctxq1tqvaCgkFb8cCA/edit?usp=sharing"",""ร้อยเอ็ด!J98"")"),3)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IFERROR(__xludf.DUMMYFUNCTION("IMPORTRANGE(""https://docs.google.com/spreadsheets/d/1XL5vhW3sbDhbH9Cz0tuDiY8C3ctxq1tqvaCgkFb8cCA/edit?usp=sharing"",""ร้อยเอ็ด!J99"")"),0)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IFERROR(__xludf.DUMMYFUNCTION("IMPORTRANGE(""https://docs.google.com/spreadsheets/d/1XL5vhW3sbDhbH9Cz0tuDiY8C3ctxq1tqvaCgkFb8cCA/edit?usp=sharing"",""ร้อยเอ็ด!J100"")"),0)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IFERROR(__xludf.DUMMYFUNCTION("IMPORTRANGE(""https://docs.google.com/spreadsheets/d/1XL5vhW3sbDhbH9Cz0tuDiY8C3ctxq1tqvaCgkFb8cCA/edit?usp=sharing"",""ร้อยเอ็ด!I101"")"),0)</f>
        <v>0</v>
      </c>
      <c r="J176" s="284">
        <f ca="1">IFERROR(__xludf.DUMMYFUNCTION("IMPORTRANGE(""https://docs.google.com/spreadsheets/d/1XL5vhW3sbDhbH9Cz0tuDiY8C3ctxq1tqvaCgkFb8cCA/edit?usp=sharing"",""ร้อยเอ็ด!J101"")"),0)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IFERROR(__xludf.DUMMYFUNCTION("IMPORTRANGE(""https://docs.google.com/spreadsheets/d/1XL5vhW3sbDhbH9Cz0tuDiY8C3ctxq1tqvaCgkFb8cCA/edit?usp=sharing"",""ร้อยเอ็ด!I110"")"),0)</f>
        <v>0</v>
      </c>
      <c r="J185" s="205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IFERROR(__xludf.DUMMYFUNCTION("IMPORTRANGE(""https://docs.google.com/spreadsheets/d/1XL5vhW3sbDhbH9Cz0tuDiY8C3ctxq1tqvaCgkFb8cCA/edit?usp=sharing"",""ร้อยเอ็ด!I111"")"),0)</f>
        <v>0</v>
      </c>
      <c r="J186" s="205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IFERROR(__xludf.DUMMYFUNCTION("IMPORTRANGE(""https://docs.google.com/spreadsheets/d/1XL5vhW3sbDhbH9Cz0tuDiY8C3ctxq1tqvaCgkFb8cCA/edit?usp=sharing"",""ร้อยเอ็ด!I114"")"),64000)</f>
        <v>64000</v>
      </c>
      <c r="J189" s="284">
        <f ca="1">IFERROR(__xludf.DUMMYFUNCTION("IMPORTRANGE(""https://docs.google.com/spreadsheets/d/1XL5vhW3sbDhbH9Cz0tuDiY8C3ctxq1tqvaCgkFb8cCA/edit?usp=sharing"",""ร้อยเอ็ด!J114"")"),0)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IFERROR(__xludf.DUMMYFUNCTION("IMPORTRANGE(""https://docs.google.com/spreadsheets/d/1XL5vhW3sbDhbH9Cz0tuDiY8C3ctxq1tqvaCgkFb8cCA/edit?usp=sharing"",""ร้อยเอ็ด!J119"")"),0)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IFERROR(__xludf.DUMMYFUNCTION("IMPORTRANGE(""https://docs.google.com/spreadsheets/d/1XL5vhW3sbDhbH9Cz0tuDiY8C3ctxq1tqvaCgkFb8cCA/edit?usp=sharing"",""ร้อยเอ็ด!J120"")"),1)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IFERROR(__xludf.DUMMYFUNCTION("IMPORTRANGE(""https://docs.google.com/spreadsheets/d/1XL5vhW3sbDhbH9Cz0tuDiY8C3ctxq1tqvaCgkFb8cCA/edit?usp=sharing"",""ร้อยเอ็ด!J121"")"),1)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IFERROR(__xludf.DUMMYFUNCTION("IMPORTRANGE(""https://docs.google.com/spreadsheets/d/1XL5vhW3sbDhbH9Cz0tuDiY8C3ctxq1tqvaCgkFb8cCA/edit?usp=sharing"",""ร้อยเอ็ด!J122"")"),1)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IFERROR(__xludf.DUMMYFUNCTION("IMPORTRANGE(""https://docs.google.com/spreadsheets/d/1XL5vhW3sbDhbH9Cz0tuDiY8C3ctxq1tqvaCgkFb8cCA/edit?usp=sharing"",""ร้อยเอ็ด!I124"")"),64000)</f>
        <v>64000</v>
      </c>
      <c r="J199" s="190">
        <f ca="1">IFERROR(__xludf.DUMMYFUNCTION("IMPORTRANGE(""https://docs.google.com/spreadsheets/d/1XL5vhW3sbDhbH9Cz0tuDiY8C3ctxq1tqvaCgkFb8cCA/edit?usp=sharing"",""ร้อยเอ็ด!J124"")"),64000)</f>
        <v>64000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IFERROR(__xludf.DUMMYFUNCTION("IMPORTRANGE(""https://docs.google.com/spreadsheets/d/1XL5vhW3sbDhbH9Cz0tuDiY8C3ctxq1tqvaCgkFb8cCA/edit?usp=sharing"",""ร้อยเอ็ด!I125"")"),64000)</f>
        <v>64000</v>
      </c>
      <c r="J200" s="190">
        <f ca="1">IFERROR(__xludf.DUMMYFUNCTION("IMPORTRANGE(""https://docs.google.com/spreadsheets/d/1XL5vhW3sbDhbH9Cz0tuDiY8C3ctxq1tqvaCgkFb8cCA/edit?usp=sharing"",""ร้อยเอ็ด!J125"")"),0)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IFERROR(__xludf.DUMMYFUNCTION("IMPORTRANGE(""https://docs.google.com/spreadsheets/d/1XL5vhW3sbDhbH9Cz0tuDiY8C3ctxq1tqvaCgkFb8cCA/edit?usp=sharing"",""ร้อยเอ็ด!I126"")"),0)</f>
        <v>0</v>
      </c>
      <c r="J201" s="190">
        <f ca="1">IFERROR(__xludf.DUMMYFUNCTION("IMPORTRANGE(""https://docs.google.com/spreadsheets/d/1XL5vhW3sbDhbH9Cz0tuDiY8C3ctxq1tqvaCgkFb8cCA/edit?usp=sharing"",""ร้อยเอ็ด!J126"")"),0)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IFERROR(__xludf.DUMMYFUNCTION("IMPORTRANGE(""https://docs.google.com/spreadsheets/d/1XL5vhW3sbDhbH9Cz0tuDiY8C3ctxq1tqvaCgkFb8cCA/edit?usp=sharing"",""ร้อยเอ็ด!J127"")"),0)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IFERROR(__xludf.DUMMYFUNCTION("IMPORTRANGE(""https://docs.google.com/spreadsheets/d/1XL5vhW3sbDhbH9Cz0tuDiY8C3ctxq1tqvaCgkFb8cCA/edit?usp=sharing"",""ร้อยเอ็ด!J128"")"),0)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IFERROR(__xludf.DUMMYFUNCTION("IMPORTRANGE(""https://docs.google.com/spreadsheets/d/1XL5vhW3sbDhbH9Cz0tuDiY8C3ctxq1tqvaCgkFb8cCA/edit?usp=sharing"",""ร้อยเอ็ด!I129"")"),0)</f>
        <v>0</v>
      </c>
      <c r="J204" s="284">
        <f ca="1">IFERROR(__xludf.DUMMYFUNCTION("IMPORTRANGE(""https://docs.google.com/spreadsheets/d/1XL5vhW3sbDhbH9Cz0tuDiY8C3ctxq1tqvaCgkFb8cCA/edit?usp=sharing"",""ร้อยเอ็ด!J129"")"),0)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IFERROR(__xludf.DUMMYFUNCTION("IMPORTRANGE(""https://docs.google.com/spreadsheets/d/1XL5vhW3sbDhbH9Cz0tuDiY8C3ctxq1tqvaCgkFb8cCA/edit?usp=sharing"",""ร้อยเอ็ด!I138"")"),0)</f>
        <v>0</v>
      </c>
      <c r="J213" s="205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IFERROR(__xludf.DUMMYFUNCTION("IMPORTRANGE(""https://docs.google.com/spreadsheets/d/1XL5vhW3sbDhbH9Cz0tuDiY8C3ctxq1tqvaCgkFb8cCA/edit?usp=sharing"",""ร้อยเอ็ด!I140"")"),0)</f>
        <v>0</v>
      </c>
      <c r="J215" s="205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IFERROR(__xludf.DUMMYFUNCTION("IMPORTRANGE(""https://docs.google.com/spreadsheets/d/1XL5vhW3sbDhbH9Cz0tuDiY8C3ctxq1tqvaCgkFb8cCA/edit?usp=sharing"",""ร้อยเอ็ด!I141"")"),0)</f>
        <v>0</v>
      </c>
      <c r="J216" s="205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16510</v>
      </c>
      <c r="O220" s="151">
        <f t="shared" ref="O220:O222" ca="1" si="73">IF(L220&gt;0,N220*100/L220,0)</f>
        <v>99.758308157099691</v>
      </c>
      <c r="P220" s="151">
        <f t="shared" ref="P220:P222" ca="1" si="74">IF(M220&gt;0,N220*100/M220,0)</f>
        <v>99.758308157099691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16510</v>
      </c>
      <c r="O222" s="156">
        <f t="shared" ca="1" si="73"/>
        <v>99.758308157099691</v>
      </c>
      <c r="P222" s="156">
        <f t="shared" ca="1" si="74"/>
        <v>99.758308157099691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16550</v>
      </c>
      <c r="M224" s="537">
        <f ca="1">IFERROR(__xludf.DUMMYFUNCTION("IMPORTRANGE(""https://docs.google.com/spreadsheets/d/1Yj_ptqi66GCucihVvJfMjLAmec39IyEx_6qawtMGysU/edit?usp=sharing"",""สบก!BS48"")"),16550)</f>
        <v>16550</v>
      </c>
      <c r="N224" s="538">
        <f ca="1">IFERROR(__xludf.DUMMYFUNCTION("IMPORTRANGE(""https://docs.google.com/spreadsheets/d/1Yj_ptqi66GCucihVvJfMjLAmec39IyEx_6qawtMGysU/edit?usp=sharing"",""สบก!BT48"")"),16510)</f>
        <v>16510</v>
      </c>
      <c r="O224" s="170">
        <f ca="1">IF(L224&gt;0,N224*100/L224,0)</f>
        <v>99.758308157099691</v>
      </c>
      <c r="P224" s="170">
        <f ca="1">IF(M224&gt;0,N224*100/M224,0)</f>
        <v>99.758308157099691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IFERROR(__xludf.DUMMYFUNCTION("IMPORTRANGE(""https://docs.google.com/spreadsheets/d/1Yj_ptqi66GCucihVvJfMjLAmec39IyEx_6qawtMGysU/edit?usp=sharing"",""สบก!BO48"")"),0)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IFERROR(__xludf.DUMMYFUNCTION("IMPORTRANGE(""https://docs.google.com/spreadsheets/d/1Yj_ptqi66GCucihVvJfMjLAmec39IyEx_6qawtMGysU/edit?usp=sharing"",""สบก!BP48"")"),16550)</f>
        <v>16550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IFERROR(__xludf.DUMMYFUNCTION("IMPORTRANGE(""https://docs.google.com/spreadsheets/d/1Yj_ptqi66GCucihVvJfMjLAmec39IyEx_6qawtMGysU/edit?usp=sharing"",""สบก!BQ48"")"),0)</f>
        <v>0</v>
      </c>
      <c r="M228" s="536"/>
      <c r="N228" s="533">
        <f ca="1">IFERROR(__xludf.DUMMYFUNCTION("IMPORTRANGE(""https://docs.google.com/spreadsheets/d/1Yj_ptqi66GCucihVvJfMjLAmec39IyEx_6qawtMGysU/edit?usp=sharing"",""สบก!BU48"")"),0)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IFERROR(__xludf.DUMMYFUNCTION("IMPORTRANGE(""https://docs.google.com/spreadsheets/d/1XL5vhW3sbDhbH9Cz0tuDiY8C3ctxq1tqvaCgkFb8cCA/edit?usp=sharing"",""ร้อยเอ็ด!J151"")"),0)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IFERROR(__xludf.DUMMYFUNCTION("IMPORTRANGE(""https://docs.google.com/spreadsheets/d/1XL5vhW3sbDhbH9Cz0tuDiY8C3ctxq1tqvaCgkFb8cCA/edit?usp=sharing"",""ร้อยเอ็ด!J152"")"),1)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IFERROR(__xludf.DUMMYFUNCTION("IMPORTRANGE(""https://docs.google.com/spreadsheets/d/1XL5vhW3sbDhbH9Cz0tuDiY8C3ctxq1tqvaCgkFb8cCA/edit?usp=sharing"",""ร้อยเอ็ด!J153"")"),1)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IFERROR(__xludf.DUMMYFUNCTION("IMPORTRANGE(""https://docs.google.com/spreadsheets/d/1XL5vhW3sbDhbH9Cz0tuDiY8C3ctxq1tqvaCgkFb8cCA/edit?usp=sharing"",""ร้อยเอ็ด!J154"")"),1)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IFERROR(__xludf.DUMMYFUNCTION("IMPORTRANGE(""https://docs.google.com/spreadsheets/d/1XL5vhW3sbDhbH9Cz0tuDiY8C3ctxq1tqvaCgkFb8cCA/edit?usp=sharing"",""ร้อยเอ็ด!I155"")"),10)</f>
        <v>10</v>
      </c>
      <c r="J235" s="190">
        <f ca="1">IFERROR(__xludf.DUMMYFUNCTION("IMPORTRANGE(""https://docs.google.com/spreadsheets/d/1XL5vhW3sbDhbH9Cz0tuDiY8C3ctxq1tqvaCgkFb8cCA/edit?usp=sharing"",""ร้อยเอ็ด!J155"")"),10)</f>
        <v>10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IFERROR(__xludf.DUMMYFUNCTION("IMPORTRANGE(""https://docs.google.com/spreadsheets/d/1XL5vhW3sbDhbH9Cz0tuDiY8C3ctxq1tqvaCgkFb8cCA/edit?usp=sharing"",""ร้อยเอ็ด!J156"")"),1)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IFERROR(__xludf.DUMMYFUNCTION("IMPORTRANGE(""https://docs.google.com/spreadsheets/d/1XL5vhW3sbDhbH9Cz0tuDiY8C3ctxq1tqvaCgkFb8cCA/edit?usp=sharing"",""ร้อยเอ็ด!J157"")"),0)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IFERROR(__xludf.DUMMYFUNCTION("IMPORTRANGE(""https://docs.google.com/spreadsheets/d/1XL5vhW3sbDhbH9Cz0tuDiY8C3ctxq1tqvaCgkFb8cCA/edit?usp=sharing"",""ร้อยเอ็ด!J159"")"),"")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IFERROR(__xludf.DUMMYFUNCTION("IMPORTRANGE(""https://docs.google.com/spreadsheets/d/1XL5vhW3sbDhbH9Cz0tuDiY8C3ctxq1tqvaCgkFb8cCA/edit?usp=sharing"",""ร้อยเอ็ด!J161"")"),0)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IFERROR(__xludf.DUMMYFUNCTION("IMPORTRANGE(""https://docs.google.com/spreadsheets/d/1XL5vhW3sbDhbH9Cz0tuDiY8C3ctxq1tqvaCgkFb8cCA/edit?usp=sharing"",""ร้อยเอ็ด!J162"")"),0)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IFERROR(__xludf.DUMMYFUNCTION("IMPORTRANGE(""https://docs.google.com/spreadsheets/d/1XL5vhW3sbDhbH9Cz0tuDiY8C3ctxq1tqvaCgkFb8cCA/edit?usp=sharing"",""ร้อยเอ็ด!J163"")"),0)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IFERROR(__xludf.DUMMYFUNCTION("IMPORTRANGE(""https://docs.google.com/spreadsheets/d/1XL5vhW3sbDhbH9Cz0tuDiY8C3ctxq1tqvaCgkFb8cCA/edit?usp=sharing"",""ร้อยเอ็ด!I164"")"),0)</f>
        <v>0</v>
      </c>
      <c r="J244" s="189">
        <f ca="1">IFERROR(__xludf.DUMMYFUNCTION("IMPORTRANGE(""https://docs.google.com/spreadsheets/d/1XL5vhW3sbDhbH9Cz0tuDiY8C3ctxq1tqvaCgkFb8cCA/edit?usp=sharing"",""ร้อยเอ็ด!J164"")"),0)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IFERROR(__xludf.DUMMYFUNCTION("IMPORTRANGE(""https://docs.google.com/spreadsheets/d/1XL5vhW3sbDhbH9Cz0tuDiY8C3ctxq1tqvaCgkFb8cCA/edit?usp=sharing"",""ร้อยเอ็ด!J165"")"),0)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IFERROR(__xludf.DUMMYFUNCTION("IMPORTRANGE(""https://docs.google.com/spreadsheets/d/1XL5vhW3sbDhbH9Cz0tuDiY8C3ctxq1tqvaCgkFb8cCA/edit?usp=sharing"",""ร้อยเอ็ด!I169"")"),0)</f>
        <v>0</v>
      </c>
      <c r="J249" s="316">
        <f ca="1">IFERROR(__xludf.DUMMYFUNCTION("IMPORTRANGE(""https://docs.google.com/spreadsheets/d/1XL5vhW3sbDhbH9Cz0tuDiY8C3ctxq1tqvaCgkFb8cCA/edit?usp=sharing"",""ร้อยเอ็ด!J169"")"),0)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IFERROR(__xludf.DUMMYFUNCTION("IMPORTRANGE(""https://docs.google.com/spreadsheets/d/1Yj_ptqi66GCucihVvJfMjLAmec39IyEx_6qawtMGysU/edit?usp=sharing"",""สบก!CB48"")"),0)</f>
        <v>0</v>
      </c>
      <c r="N254" s="538">
        <f ca="1">IFERROR(__xludf.DUMMYFUNCTION("IMPORTRANGE(""https://docs.google.com/spreadsheets/d/1Yj_ptqi66GCucihVvJfMjLAmec39IyEx_6qawtMGysU/edit?usp=sharing"",""สบก!CC48"")"),0)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IFERROR(__xludf.DUMMYFUNCTION("IMPORTRANGE(""https://docs.google.com/spreadsheets/d/1Yj_ptqi66GCucihVvJfMjLAmec39IyEx_6qawtMGysU/edit?usp=sharing"",""สบก!BX48"")"),0)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IFERROR(__xludf.DUMMYFUNCTION("IMPORTRANGE(""https://docs.google.com/spreadsheets/d/1Yj_ptqi66GCucihVvJfMjLAmec39IyEx_6qawtMGysU/edit?usp=sharing"",""สบก!BY48"")"),0)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IFERROR(__xludf.DUMMYFUNCTION("IMPORTRANGE(""https://docs.google.com/spreadsheets/d/1Yj_ptqi66GCucihVvJfMjLAmec39IyEx_6qawtMGysU/edit?usp=sharing"",""สบก!BZ48"")"),0)</f>
        <v>0</v>
      </c>
      <c r="M258" s="536"/>
      <c r="N258" s="533">
        <f ca="1">IFERROR(__xludf.DUMMYFUNCTION("IMPORTRANGE(""https://docs.google.com/spreadsheets/d/1Yj_ptqi66GCucihVvJfMjLAmec39IyEx_6qawtMGysU/edit?usp=sharing"",""สบก!CD48"")"),0)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IFERROR(__xludf.DUMMYFUNCTION("IMPORTRANGE(""https://docs.google.com/spreadsheets/d/1XL5vhW3sbDhbH9Cz0tuDiY8C3ctxq1tqvaCgkFb8cCA/edit?usp=sharing"",""ร้อยเอ็ด!J175"")"),0)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IFERROR(__xludf.DUMMYFUNCTION("IMPORTRANGE(""https://docs.google.com/spreadsheets/d/1XL5vhW3sbDhbH9Cz0tuDiY8C3ctxq1tqvaCgkFb8cCA/edit?usp=sharing"",""ร้อยเอ็ด!J176"")"),0)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IFERROR(__xludf.DUMMYFUNCTION("IMPORTRANGE(""https://docs.google.com/spreadsheets/d/1XL5vhW3sbDhbH9Cz0tuDiY8C3ctxq1tqvaCgkFb8cCA/edit?usp=sharing"",""ร้อยเอ็ด!J177"")"),0)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IFERROR(__xludf.DUMMYFUNCTION("IMPORTRANGE(""https://docs.google.com/spreadsheets/d/1XL5vhW3sbDhbH9Cz0tuDiY8C3ctxq1tqvaCgkFb8cCA/edit?usp=sharing"",""ร้อยเอ็ด!J178"")"),0)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IFERROR(__xludf.DUMMYFUNCTION("IMPORTRANGE(""https://docs.google.com/spreadsheets/d/1XL5vhW3sbDhbH9Cz0tuDiY8C3ctxq1tqvaCgkFb8cCA/edit?usp=sharing"",""ร้อยเอ็ด!I179"")"),0)</f>
        <v>0</v>
      </c>
      <c r="J264" s="190">
        <f ca="1">IFERROR(__xludf.DUMMYFUNCTION("IMPORTRANGE(""https://docs.google.com/spreadsheets/d/1XL5vhW3sbDhbH9Cz0tuDiY8C3ctxq1tqvaCgkFb8cCA/edit?usp=sharing"",""ร้อยเอ็ด!J179"")"),0)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IFERROR(__xludf.DUMMYFUNCTION("IMPORTRANGE(""https://docs.google.com/spreadsheets/d/1XL5vhW3sbDhbH9Cz0tuDiY8C3ctxq1tqvaCgkFb8cCA/edit?usp=sharing"",""ร้อยเอ็ด!I180"")"),0)</f>
        <v>0</v>
      </c>
      <c r="J265" s="190">
        <f ca="1">IFERROR(__xludf.DUMMYFUNCTION("IMPORTRANGE(""https://docs.google.com/spreadsheets/d/1XL5vhW3sbDhbH9Cz0tuDiY8C3ctxq1tqvaCgkFb8cCA/edit?usp=sharing"",""ร้อยเอ็ด!J180"")"),0)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IFERROR(__xludf.DUMMYFUNCTION("IMPORTRANGE(""https://docs.google.com/spreadsheets/d/1XL5vhW3sbDhbH9Cz0tuDiY8C3ctxq1tqvaCgkFb8cCA/edit?usp=sharing"",""ร้อยเอ็ด!I181"")"),0)</f>
        <v>0</v>
      </c>
      <c r="J266" s="190">
        <f ca="1">IFERROR(__xludf.DUMMYFUNCTION("IMPORTRANGE(""https://docs.google.com/spreadsheets/d/1XL5vhW3sbDhbH9Cz0tuDiY8C3ctxq1tqvaCgkFb8cCA/edit?usp=sharing"",""ร้อยเอ็ด!J181"")"),0)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IFERROR(__xludf.DUMMYFUNCTION("IMPORTRANGE(""https://docs.google.com/spreadsheets/d/1XL5vhW3sbDhbH9Cz0tuDiY8C3ctxq1tqvaCgkFb8cCA/edit?usp=sharing"",""ร้อยเอ็ด!I182"")"),0)</f>
        <v>0</v>
      </c>
      <c r="J267" s="190">
        <f ca="1">IFERROR(__xludf.DUMMYFUNCTION("IMPORTRANGE(""https://docs.google.com/spreadsheets/d/1XL5vhW3sbDhbH9Cz0tuDiY8C3ctxq1tqvaCgkFb8cCA/edit?usp=sharing"",""ร้อยเอ็ด!J182"")"),0)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IFERROR(__xludf.DUMMYFUNCTION("IMPORTRANGE(""https://docs.google.com/spreadsheets/d/1XL5vhW3sbDhbH9Cz0tuDiY8C3ctxq1tqvaCgkFb8cCA/edit?usp=sharing"",""ร้อยเอ็ด!J183"")"),0)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IFERROR(__xludf.DUMMYFUNCTION("IMPORTRANGE(""https://docs.google.com/spreadsheets/d/1XL5vhW3sbDhbH9Cz0tuDiY8C3ctxq1tqvaCgkFb8cCA/edit?usp=sharing"",""ร้อยเอ็ด!J184"")"),0)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IFERROR(__xludf.DUMMYFUNCTION("IMPORTRANGE(""https://docs.google.com/spreadsheets/d/1XL5vhW3sbDhbH9Cz0tuDiY8C3ctxq1tqvaCgkFb8cCA/edit?usp=sharing"",""ร้อยเอ็ด!I185"")"),15)</f>
        <v>15</v>
      </c>
      <c r="J270" s="316">
        <f ca="1">IFERROR(__xludf.DUMMYFUNCTION("IMPORTRANGE(""https://docs.google.com/spreadsheets/d/1XL5vhW3sbDhbH9Cz0tuDiY8C3ctxq1tqvaCgkFb8cCA/edit?usp=sharing"",""ร้อยเอ็ด!J185"")"),15)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30820</v>
      </c>
      <c r="O271" s="151">
        <f t="shared" ref="O271:O273" ca="1" si="84">IF(L271&gt;0,N271*100/L271,0)</f>
        <v>55.833333333333336</v>
      </c>
      <c r="P271" s="151">
        <f t="shared" ref="P271:P273" ca="1" si="85">IF(M271&gt;0,N271*100/M271,0)</f>
        <v>95.565891472868216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30820</v>
      </c>
      <c r="O273" s="156">
        <f t="shared" ca="1" si="84"/>
        <v>55.833333333333336</v>
      </c>
      <c r="P273" s="156">
        <f t="shared" ca="1" si="85"/>
        <v>95.565891472868216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IFERROR(__xludf.DUMMYFUNCTION("IMPORTRANGE(""https://docs.google.com/spreadsheets/d/1Yj_ptqi66GCucihVvJfMjLAmec39IyEx_6qawtMGysU/edit?usp=sharing"",""สบก!CK48"")"),32250)</f>
        <v>32250</v>
      </c>
      <c r="N275" s="538">
        <f ca="1">IFERROR(__xludf.DUMMYFUNCTION("IMPORTRANGE(""https://docs.google.com/spreadsheets/d/1Yj_ptqi66GCucihVvJfMjLAmec39IyEx_6qawtMGysU/edit?usp=sharing"",""สบก!CL48"")"),30820)</f>
        <v>30820</v>
      </c>
      <c r="O275" s="170">
        <f ca="1">IF(L275&gt;0,N275*100/L275,0)</f>
        <v>55.833333333333336</v>
      </c>
      <c r="P275" s="170">
        <f ca="1">IF(M275&gt;0,N275*100/M275,0)</f>
        <v>95.565891472868216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IFERROR(__xludf.DUMMYFUNCTION("IMPORTRANGE(""https://docs.google.com/spreadsheets/d/1Yj_ptqi66GCucihVvJfMjLAmec39IyEx_6qawtMGysU/edit?usp=sharing"",""สบก!CG48"")"),0)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IFERROR(__xludf.DUMMYFUNCTION("IMPORTRANGE(""https://docs.google.com/spreadsheets/d/1Yj_ptqi66GCucihVvJfMjLAmec39IyEx_6qawtMGysU/edit?usp=sharing"",""สบก!CH48"")"),55200)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IFERROR(__xludf.DUMMYFUNCTION("IMPORTRANGE(""https://docs.google.com/spreadsheets/d/1Yj_ptqi66GCucihVvJfMjLAmec39IyEx_6qawtMGysU/edit?usp=sharing"",""สบก!CI48"")"),0)</f>
        <v>0</v>
      </c>
      <c r="M279" s="536"/>
      <c r="N279" s="533">
        <f ca="1">IFERROR(__xludf.DUMMYFUNCTION("IMPORTRANGE(""https://docs.google.com/spreadsheets/d/1Yj_ptqi66GCucihVvJfMjLAmec39IyEx_6qawtMGysU/edit?usp=sharing"",""สบก!CM48"")"),0)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IFERROR(__xludf.DUMMYFUNCTION("IMPORTRANGE(""https://docs.google.com/spreadsheets/d/1XL5vhW3sbDhbH9Cz0tuDiY8C3ctxq1tqvaCgkFb8cCA/edit?usp=sharing"",""ร้อยเอ็ด!J191"")"),0)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IFERROR(__xludf.DUMMYFUNCTION("IMPORTRANGE(""https://docs.google.com/spreadsheets/d/1XL5vhW3sbDhbH9Cz0tuDiY8C3ctxq1tqvaCgkFb8cCA/edit?usp=sharing"",""ร้อยเอ็ด!J192"")"),1)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IFERROR(__xludf.DUMMYFUNCTION("IMPORTRANGE(""https://docs.google.com/spreadsheets/d/1XL5vhW3sbDhbH9Cz0tuDiY8C3ctxq1tqvaCgkFb8cCA/edit?usp=sharing"",""ร้อยเอ็ด!J193"")"),1)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IFERROR(__xludf.DUMMYFUNCTION("IMPORTRANGE(""https://docs.google.com/spreadsheets/d/1XL5vhW3sbDhbH9Cz0tuDiY8C3ctxq1tqvaCgkFb8cCA/edit?usp=sharing"",""ร้อยเอ็ด!J194"")"),1)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IFERROR(__xludf.DUMMYFUNCTION("IMPORTRANGE(""https://docs.google.com/spreadsheets/d/1XL5vhW3sbDhbH9Cz0tuDiY8C3ctxq1tqvaCgkFb8cCA/edit?usp=sharing"",""ร้อยเอ็ด!I195"")"),15)</f>
        <v>15</v>
      </c>
      <c r="J285" s="190">
        <f ca="1">IFERROR(__xludf.DUMMYFUNCTION("IMPORTRANGE(""https://docs.google.com/spreadsheets/d/1XL5vhW3sbDhbH9Cz0tuDiY8C3ctxq1tqvaCgkFb8cCA/edit?usp=sharing"",""ร้อยเอ็ด!J195"")"),15)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IFERROR(__xludf.DUMMYFUNCTION("IMPORTRANGE(""https://docs.google.com/spreadsheets/d/1XL5vhW3sbDhbH9Cz0tuDiY8C3ctxq1tqvaCgkFb8cCA/edit?usp=sharing"",""ร้อยเอ็ด!J196"")"),0)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IFERROR(__xludf.DUMMYFUNCTION("IMPORTRANGE(""https://docs.google.com/spreadsheets/d/1XL5vhW3sbDhbH9Cz0tuDiY8C3ctxq1tqvaCgkFb8cCA/edit?usp=sharing"",""ร้อยเอ็ด!I199"")"),0)</f>
        <v>0</v>
      </c>
      <c r="J289" s="316">
        <f ca="1">IFERROR(__xludf.DUMMYFUNCTION("IMPORTRANGE(""https://docs.google.com/spreadsheets/d/1XL5vhW3sbDhbH9Cz0tuDiY8C3ctxq1tqvaCgkFb8cCA/edit?usp=sharing"",""ร้อยเอ็ด!J199"")"),0)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IFERROR(__xludf.DUMMYFUNCTION("IMPORTRANGE(""https://docs.google.com/spreadsheets/d/1Yj_ptqi66GCucihVvJfMjLAmec39IyEx_6qawtMGysU/edit?usp=sharing"",""สบก!CT48"")"),0)</f>
        <v>0</v>
      </c>
      <c r="N294" s="538">
        <f ca="1">IFERROR(__xludf.DUMMYFUNCTION("IMPORTRANGE(""https://docs.google.com/spreadsheets/d/1Yj_ptqi66GCucihVvJfMjLAmec39IyEx_6qawtMGysU/edit?usp=sharing"",""สบก!CU48"")"),0)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IFERROR(__xludf.DUMMYFUNCTION("IMPORTRANGE(""https://docs.google.com/spreadsheets/d/1Yj_ptqi66GCucihVvJfMjLAmec39IyEx_6qawtMGysU/edit?usp=sharing"",""สบก!CP48"")"),0)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IFERROR(__xludf.DUMMYFUNCTION("IMPORTRANGE(""https://docs.google.com/spreadsheets/d/1Yj_ptqi66GCucihVvJfMjLAmec39IyEx_6qawtMGysU/edit?usp=sharing"",""สบก!CQ48"")"),0)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IFERROR(__xludf.DUMMYFUNCTION("IMPORTRANGE(""https://docs.google.com/spreadsheets/d/1Yj_ptqi66GCucihVvJfMjLAmec39IyEx_6qawtMGysU/edit?usp=sharing"",""สบก!CR48"")"),0)</f>
        <v>0</v>
      </c>
      <c r="M298" s="536"/>
      <c r="N298" s="533">
        <f ca="1">IFERROR(__xludf.DUMMYFUNCTION("IMPORTRANGE(""https://docs.google.com/spreadsheets/d/1Yj_ptqi66GCucihVvJfMjLAmec39IyEx_6qawtMGysU/edit?usp=sharing"",""สบก!CV48"")"),0)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IFERROR(__xludf.DUMMYFUNCTION("IMPORTRANGE(""https://docs.google.com/spreadsheets/d/1XL5vhW3sbDhbH9Cz0tuDiY8C3ctxq1tqvaCgkFb8cCA/edit?usp=sharing"",""ร้อยเอ็ด!I209"")"),0)</f>
        <v>0</v>
      </c>
      <c r="J304" s="205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IFERROR(__xludf.DUMMYFUNCTION("IMPORTRANGE(""https://docs.google.com/spreadsheets/d/1XL5vhW3sbDhbH9Cz0tuDiY8C3ctxq1tqvaCgkFb8cCA/edit?usp=sharing"",""ร้อยเอ็ด!I211"")"),0)</f>
        <v>0</v>
      </c>
      <c r="J306" s="205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IFERROR(__xludf.DUMMYFUNCTION("IMPORTRANGE(""https://docs.google.com/spreadsheets/d/1XL5vhW3sbDhbH9Cz0tuDiY8C3ctxq1tqvaCgkFb8cCA/edit?usp=sharing"",""ร้อยเอ็ด!I214"")"),0)</f>
        <v>0</v>
      </c>
      <c r="J309" s="333">
        <f ca="1">IFERROR(__xludf.DUMMYFUNCTION("IMPORTRANGE(""https://docs.google.com/spreadsheets/d/1XL5vhW3sbDhbH9Cz0tuDiY8C3ctxq1tqvaCgkFb8cCA/edit?usp=sharing"",""ร้อยเอ็ด!J214"")"),0)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IFERROR(__xludf.DUMMYFUNCTION("IMPORTRANGE(""https://docs.google.com/spreadsheets/d/1Yj_ptqi66GCucihVvJfMjLAmec39IyEx_6qawtMGysU/edit?usp=sharing"",""สบก!DC48"")"),0)</f>
        <v>0</v>
      </c>
      <c r="N314" s="538">
        <f ca="1">IFERROR(__xludf.DUMMYFUNCTION("IMPORTRANGE(""https://docs.google.com/spreadsheets/d/1Yj_ptqi66GCucihVvJfMjLAmec39IyEx_6qawtMGysU/edit?usp=sharing"",""สบก!DD48"")"),0)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IFERROR(__xludf.DUMMYFUNCTION("IMPORTRANGE(""https://docs.google.com/spreadsheets/d/1Yj_ptqi66GCucihVvJfMjLAmec39IyEx_6qawtMGysU/edit?usp=sharing"",""สบก!CY48"")"),0)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IFERROR(__xludf.DUMMYFUNCTION("IMPORTRANGE(""https://docs.google.com/spreadsheets/d/1Yj_ptqi66GCucihVvJfMjLAmec39IyEx_6qawtMGysU/edit?usp=sharing"",""สบก!CZ48"")"),0)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IFERROR(__xludf.DUMMYFUNCTION("IMPORTRANGE(""https://docs.google.com/spreadsheets/d/1Yj_ptqi66GCucihVvJfMjLAmec39IyEx_6qawtMGysU/edit?usp=sharing"",""สบก!DA48"")"),0)</f>
        <v>0</v>
      </c>
      <c r="M318" s="536"/>
      <c r="N318" s="533">
        <f ca="1">IFERROR(__xludf.DUMMYFUNCTION("IMPORTRANGE(""https://docs.google.com/spreadsheets/d/1Yj_ptqi66GCucihVvJfMjLAmec39IyEx_6qawtMGysU/edit?usp=sharing"",""สบก!DE48"")"),0)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IFERROR(__xludf.DUMMYFUNCTION("IMPORTRANGE(""https://docs.google.com/spreadsheets/d/1XL5vhW3sbDhbH9Cz0tuDiY8C3ctxq1tqvaCgkFb8cCA/edit?usp=sharing"",""ร้อยเอ็ด!I224"")"),0)</f>
        <v>0</v>
      </c>
      <c r="J324" s="205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IFERROR(__xludf.DUMMYFUNCTION("IMPORTRANGE(""https://docs.google.com/spreadsheets/d/1XL5vhW3sbDhbH9Cz0tuDiY8C3ctxq1tqvaCgkFb8cCA/edit?usp=sharing"",""ร้อยเอ็ด!I228"")"),490)</f>
        <v>490</v>
      </c>
      <c r="J328" s="339">
        <f ca="1">IFERROR(__xludf.DUMMYFUNCTION("IMPORTRANGE(""https://docs.google.com/spreadsheets/d/1XL5vhW3sbDhbH9Cz0tuDiY8C3ctxq1tqvaCgkFb8cCA/edit?usp=sharing"",""ร้อยเอ็ด!J228"")"),282)</f>
        <v>282</v>
      </c>
      <c r="K328" s="317">
        <f ca="1">IF(I328&gt;0,J328*100/I328,0)</f>
        <v>57.551020408163268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1146440</v>
      </c>
      <c r="M329" s="152">
        <f t="shared" ca="1" si="98"/>
        <v>739430</v>
      </c>
      <c r="N329" s="152">
        <f t="shared" ca="1" si="98"/>
        <v>609944</v>
      </c>
      <c r="O329" s="151">
        <f t="shared" ref="O329:O331" ca="1" si="99">IF(L329&gt;0,N329*100/L329,0)</f>
        <v>53.203307630578138</v>
      </c>
      <c r="P329" s="151">
        <f t="shared" ref="P329:P331" ca="1" si="100">IF(M329&gt;0,N329*100/M329,0)</f>
        <v>82.488403229514631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1146440</v>
      </c>
      <c r="M331" s="157">
        <f t="shared" ca="1" si="102"/>
        <v>739430</v>
      </c>
      <c r="N331" s="157">
        <f t="shared" ca="1" si="102"/>
        <v>609944</v>
      </c>
      <c r="O331" s="156">
        <f t="shared" ca="1" si="99"/>
        <v>53.203307630578138</v>
      </c>
      <c r="P331" s="156">
        <f t="shared" ca="1" si="100"/>
        <v>82.488403229514631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962440</v>
      </c>
      <c r="M333" s="537">
        <f ca="1">IFERROR(__xludf.DUMMYFUNCTION("IMPORTRANGE(""https://docs.google.com/spreadsheets/d/1Yj_ptqi66GCucihVvJfMjLAmec39IyEx_6qawtMGysU/edit?usp=sharing"",""สบก!DL48"")"),555430)</f>
        <v>555430</v>
      </c>
      <c r="N333" s="538">
        <f ca="1">IFERROR(__xludf.DUMMYFUNCTION("IMPORTRANGE(""https://docs.google.com/spreadsheets/d/1Yj_ptqi66GCucihVvJfMjLAmec39IyEx_6qawtMGysU/edit?usp=sharing"",""สบก!DM48"")"),425944)</f>
        <v>425944</v>
      </c>
      <c r="O333" s="170">
        <f ca="1">IF(L333&gt;0,N333*100/L333,0)</f>
        <v>44.256680935954449</v>
      </c>
      <c r="P333" s="170">
        <f ca="1">IF(M333&gt;0,N333*100/M333,0)</f>
        <v>76.687251318798047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IFERROR(__xludf.DUMMYFUNCTION("IMPORTRANGE(""https://docs.google.com/spreadsheets/d/1Yj_ptqi66GCucihVvJfMjLAmec39IyEx_6qawtMGysU/edit?usp=sharing"",""สบก!DH48"")"),194400)</f>
        <v>194400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IFERROR(__xludf.DUMMYFUNCTION("IMPORTRANGE(""https://docs.google.com/spreadsheets/d/1Yj_ptqi66GCucihVvJfMjLAmec39IyEx_6qawtMGysU/edit?usp=sharing"",""สบก!DI48"")"),768040)</f>
        <v>768040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IFERROR(__xludf.DUMMYFUNCTION("IMPORTRANGE(""https://docs.google.com/spreadsheets/d/1Yj_ptqi66GCucihVvJfMjLAmec39IyEx_6qawtMGysU/edit?usp=sharing"",""สบก!DJ48"")"),184000)</f>
        <v>184000</v>
      </c>
      <c r="M337" s="536">
        <f ca="1">L337</f>
        <v>184000</v>
      </c>
      <c r="N337" s="533">
        <f ca="1">IFERROR(__xludf.DUMMYFUNCTION("IMPORTRANGE(""https://docs.google.com/spreadsheets/d/1Yj_ptqi66GCucihVvJfMjLAmec39IyEx_6qawtMGysU/edit?usp=sharing"",""สบก!DN48"")"),184000)</f>
        <v>184000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IFERROR(__xludf.DUMMYFUNCTION("IMPORTRANGE(""https://docs.google.com/spreadsheets/d/1XL5vhW3sbDhbH9Cz0tuDiY8C3ctxq1tqvaCgkFb8cCA/edit?usp=sharing"",""ร้อยเอ็ด!I234"")"),0)</f>
        <v>0</v>
      </c>
      <c r="J339" s="189">
        <f ca="1">IFERROR(__xludf.DUMMYFUNCTION("IMPORTRANGE(""https://docs.google.com/spreadsheets/d/1XL5vhW3sbDhbH9Cz0tuDiY8C3ctxq1tqvaCgkFb8cCA/edit?usp=sharing"",""ร้อยเอ็ด!J234"")"),246)</f>
        <v>246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IFERROR(__xludf.DUMMYFUNCTION("IMPORTRANGE(""https://docs.google.com/spreadsheets/d/1XL5vhW3sbDhbH9Cz0tuDiY8C3ctxq1tqvaCgkFb8cCA/edit?usp=sharing"",""ร้อยเอ็ด!I235"")"),4600)</f>
        <v>4600</v>
      </c>
      <c r="J340" s="189">
        <f ca="1">IFERROR(__xludf.DUMMYFUNCTION("IMPORTRANGE(""https://docs.google.com/spreadsheets/d/1XL5vhW3sbDhbH9Cz0tuDiY8C3ctxq1tqvaCgkFb8cCA/edit?usp=sharing"",""ร้อยเอ็ด!J235"")"),1986.51)</f>
        <v>1986.51</v>
      </c>
      <c r="K340" s="342">
        <f t="shared" ca="1" si="103"/>
        <v>43.185000000000002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IFERROR(__xludf.DUMMYFUNCTION("IMPORTRANGE(""https://docs.google.com/spreadsheets/d/1XL5vhW3sbDhbH9Cz0tuDiY8C3ctxq1tqvaCgkFb8cCA/edit?usp=sharing"",""ร้อยเอ็ด!I236"")"),490)</f>
        <v>490</v>
      </c>
      <c r="J341" s="189">
        <f ca="1">IFERROR(__xludf.DUMMYFUNCTION("IMPORTRANGE(""https://docs.google.com/spreadsheets/d/1XL5vhW3sbDhbH9Cz0tuDiY8C3ctxq1tqvaCgkFb8cCA/edit?usp=sharing"",""ร้อยเอ็ด!J236"")"),502)</f>
        <v>502</v>
      </c>
      <c r="K341" s="342">
        <f t="shared" ca="1" si="103"/>
        <v>102.44897959183673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9">
        <f ca="1">IFERROR(__xludf.DUMMYFUNCTION("IMPORTRANGE(""https://docs.google.com/spreadsheets/d/1XL5vhW3sbDhbH9Cz0tuDiY8C3ctxq1tqvaCgkFb8cCA/edit?usp=sharing"",""ร้อยเอ็ด!J237"")"),5265.41999999999)</f>
        <v>5265.4199999999901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IFERROR(__xludf.DUMMYFUNCTION("IMPORTRANGE(""https://docs.google.com/spreadsheets/d/1XL5vhW3sbDhbH9Cz0tuDiY8C3ctxq1tqvaCgkFb8cCA/edit?usp=sharing"",""ร้อยเอ็ด!I238"")"),490)</f>
        <v>490</v>
      </c>
      <c r="J343" s="189">
        <f ca="1">IFERROR(__xludf.DUMMYFUNCTION("IMPORTRANGE(""https://docs.google.com/spreadsheets/d/1XL5vhW3sbDhbH9Cz0tuDiY8C3ctxq1tqvaCgkFb8cCA/edit?usp=sharing"",""ร้อยเอ็ด!J238"")"),0)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9">
        <f ca="1">IFERROR(__xludf.DUMMYFUNCTION("IMPORTRANGE(""https://docs.google.com/spreadsheets/d/1XL5vhW3sbDhbH9Cz0tuDiY8C3ctxq1tqvaCgkFb8cCA/edit?usp=sharing"",""ร้อยเอ็ด!J239"")"),0)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IFERROR(__xludf.DUMMYFUNCTION("IMPORTRANGE(""https://docs.google.com/spreadsheets/d/1XL5vhW3sbDhbH9Cz0tuDiY8C3ctxq1tqvaCgkFb8cCA/edit?usp=sharing"",""ร้อยเอ็ด!I240"")"),490)</f>
        <v>490</v>
      </c>
      <c r="J345" s="189">
        <f ca="1">IFERROR(__xludf.DUMMYFUNCTION("IMPORTRANGE(""https://docs.google.com/spreadsheets/d/1XL5vhW3sbDhbH9Cz0tuDiY8C3ctxq1tqvaCgkFb8cCA/edit?usp=sharing"",""ร้อยเอ็ด!J240"")"),282)</f>
        <v>282</v>
      </c>
      <c r="K345" s="342">
        <f t="shared" ca="1" si="103"/>
        <v>57.551020408163268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9">
        <f ca="1">IFERROR(__xludf.DUMMYFUNCTION("IMPORTRANGE(""https://docs.google.com/spreadsheets/d/1XL5vhW3sbDhbH9Cz0tuDiY8C3ctxq1tqvaCgkFb8cCA/edit?usp=sharing"",""ร้อยเอ็ด!J241"")"),2680.83)</f>
        <v>2680.83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IFERROR(__xludf.DUMMYFUNCTION("IMPORTRANGE(""https://docs.google.com/spreadsheets/d/1XL5vhW3sbDhbH9Cz0tuDiY8C3ctxq1tqvaCgkFb8cCA/edit?usp=sharing"",""ร้อยเอ็ด!L242"")"),2886153)</f>
        <v>2886153</v>
      </c>
      <c r="M347" s="358"/>
      <c r="N347" s="358">
        <f ca="1">IFERROR(__xludf.DUMMYFUNCTION("IMPORTRANGE(""https://docs.google.com/spreadsheets/d/1XL5vhW3sbDhbH9Cz0tuDiY8C3ctxq1tqvaCgkFb8cCA/edit?usp=sharing"",""ร้อยเอ็ด!M242"")"),772779.77)</f>
        <v>772779.77</v>
      </c>
      <c r="O347" s="358">
        <f ca="1">+IF(L347&gt;0,N347*100/L347,0)</f>
        <v>26.775426320087675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IFERROR(__xludf.DUMMYFUNCTION("IMPORTRANGE(""https://docs.google.com/spreadsheets/d/1XL5vhW3sbDhbH9Cz0tuDiY8C3ctxq1tqvaCgkFb8cCA/edit?usp=sharing"",""ร้อยเอ็ด!M244"")"),124877.88)</f>
        <v>124877.88</v>
      </c>
      <c r="O349" s="373">
        <f ca="1">+IF(L349&gt;0,N349*100/L349,0)</f>
        <v>19.366015849138531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IFERROR(__xludf.DUMMYFUNCTION("IMPORTRANGE(""https://docs.google.com/spreadsheets/d/1XL5vhW3sbDhbH9Cz0tuDiY8C3ctxq1tqvaCgkFb8cCA/edit?usp=sharing"",""ร้อยเอ็ด!L246"")"),0)</f>
        <v>0</v>
      </c>
      <c r="M351" s="166"/>
      <c r="N351" s="166">
        <f ca="1">IFERROR(__xludf.DUMMYFUNCTION("IMPORTRANGE(""https://docs.google.com/spreadsheets/d/1XL5vhW3sbDhbH9Cz0tuDiY8C3ctxq1tqvaCgkFb8cCA/edit?usp=sharing"",""ร้อยเอ็ด!M246"")"),0)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IFERROR(__xludf.DUMMYFUNCTION("IMPORTRANGE(""https://docs.google.com/spreadsheets/d/1XL5vhW3sbDhbH9Cz0tuDiY8C3ctxq1tqvaCgkFb8cCA/edit?usp=sharing"",""ร้อยเอ็ด!L247"")"),644830)</f>
        <v>644830</v>
      </c>
      <c r="M352" s="167"/>
      <c r="N352" s="166">
        <f ca="1">IFERROR(__xludf.DUMMYFUNCTION("IMPORTRANGE(""https://docs.google.com/spreadsheets/d/1XL5vhW3sbDhbH9Cz0tuDiY8C3ctxq1tqvaCgkFb8cCA/edit?usp=sharing"",""ร้อยเอ็ด!M247"")"),124877.88)</f>
        <v>124877.88</v>
      </c>
      <c r="O352" s="167">
        <f t="shared" ca="1" si="105"/>
        <v>19.366015849138531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IFERROR(__xludf.DUMMYFUNCTION("IMPORTRANGE(""https://docs.google.com/spreadsheets/d/1XL5vhW3sbDhbH9Cz0tuDiY8C3ctxq1tqvaCgkFb8cCA/edit?usp=sharing"",""ร้อยเอ็ด!L248"")"),0)</f>
        <v>0</v>
      </c>
      <c r="M353" s="170"/>
      <c r="N353" s="170">
        <f ca="1">IFERROR(__xludf.DUMMYFUNCTION("IMPORTRANGE(""https://docs.google.com/spreadsheets/d/1XL5vhW3sbDhbH9Cz0tuDiY8C3ctxq1tqvaCgkFb8cCA/edit?usp=sharing"",""ร้อยเอ็ด!M248"")"),0)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IFERROR(__xludf.DUMMYFUNCTION("IMPORTRANGE(""https://docs.google.com/spreadsheets/d/1XL5vhW3sbDhbH9Cz0tuDiY8C3ctxq1tqvaCgkFb8cCA/edit?usp=sharing"",""ร้อยเอ็ด!L249"")"),644830)</f>
        <v>644830</v>
      </c>
      <c r="M354" s="170"/>
      <c r="N354" s="169">
        <f ca="1">IFERROR(__xludf.DUMMYFUNCTION("IMPORTRANGE(""https://docs.google.com/spreadsheets/d/1XL5vhW3sbDhbH9Cz0tuDiY8C3ctxq1tqvaCgkFb8cCA/edit?usp=sharing"",""ร้อยเอ็ด!M249"")"),124877.88)</f>
        <v>124877.88</v>
      </c>
      <c r="O354" s="170">
        <f t="shared" ca="1" si="105"/>
        <v>19.366015849138531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IFERROR(__xludf.DUMMYFUNCTION("IMPORTRANGE(""https://docs.google.com/spreadsheets/d/1XL5vhW3sbDhbH9Cz0tuDiY8C3ctxq1tqvaCgkFb8cCA/edit?usp=sharing"",""ร้อยเอ็ด!M250"")"),67830)</f>
        <v>67830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IFERROR(__xludf.DUMMYFUNCTION("IMPORTRANGE(""https://docs.google.com/spreadsheets/d/1XL5vhW3sbDhbH9Cz0tuDiY8C3ctxq1tqvaCgkFb8cCA/edit?usp=sharing"",""ร้อยเอ็ด!M251"")"),0)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IFERROR(__xludf.DUMMYFUNCTION("IMPORTRANGE(""https://docs.google.com/spreadsheets/d/1XL5vhW3sbDhbH9Cz0tuDiY8C3ctxq1tqvaCgkFb8cCA/edit?usp=sharing"",""ร้อยเอ็ด!M252"")"),39386.88)</f>
        <v>39386.879999999997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IFERROR(__xludf.DUMMYFUNCTION("IMPORTRANGE(""https://docs.google.com/spreadsheets/d/1XL5vhW3sbDhbH9Cz0tuDiY8C3ctxq1tqvaCgkFb8cCA/edit?usp=sharing"",""ร้อยเอ็ด!M253"")"),17661)</f>
        <v>17661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IFERROR(__xludf.DUMMYFUNCTION("IMPORTRANGE(""https://docs.google.com/spreadsheets/d/1XL5vhW3sbDhbH9Cz0tuDiY8C3ctxq1tqvaCgkFb8cCA/edit?usp=sharing"",""ร้อยเอ็ด!J255"")"),0)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IFERROR(__xludf.DUMMYFUNCTION("IMPORTRANGE(""https://docs.google.com/spreadsheets/d/1XL5vhW3sbDhbH9Cz0tuDiY8C3ctxq1tqvaCgkFb8cCA/edit?usp=sharing"",""ร้อยเอ็ด!J256"")"),1)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IFERROR(__xludf.DUMMYFUNCTION("IMPORTRANGE(""https://docs.google.com/spreadsheets/d/1XL5vhW3sbDhbH9Cz0tuDiY8C3ctxq1tqvaCgkFb8cCA/edit?usp=sharing"",""ร้อยเอ็ด!J257"")"),1)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IFERROR(__xludf.DUMMYFUNCTION("IMPORTRANGE(""https://docs.google.com/spreadsheets/d/1XL5vhW3sbDhbH9Cz0tuDiY8C3ctxq1tqvaCgkFb8cCA/edit?usp=sharing"",""ร้อยเอ็ด!J258"")"),1)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IFERROR(__xludf.DUMMYFUNCTION("IMPORTRANGE(""https://docs.google.com/spreadsheets/d/1XL5vhW3sbDhbH9Cz0tuDiY8C3ctxq1tqvaCgkFb8cCA/edit?usp=sharing"",""ร้อยเอ็ด!J166"")"),0)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IFERROR(__xludf.DUMMYFUNCTION("IMPORTRANGE(""https://docs.google.com/spreadsheets/d/1XL5vhW3sbDhbH9Cz0tuDiY8C3ctxq1tqvaCgkFb8cCA/edit?usp=sharing"",""ร้อยเอ็ด!J166"")"),0)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IFERROR(__xludf.DUMMYFUNCTION("IMPORTRANGE(""https://docs.google.com/spreadsheets/d/1XL5vhW3sbDhbH9Cz0tuDiY8C3ctxq1tqvaCgkFb8cCA/edit?usp=sharing"",""ร้อยเอ็ด!J166"")"),0)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IFERROR(__xludf.DUMMYFUNCTION("IMPORTRANGE(""https://docs.google.com/spreadsheets/d/1XL5vhW3sbDhbH9Cz0tuDiY8C3ctxq1tqvaCgkFb8cCA/edit?usp=sharing"",""ร้อยเอ็ด!J166"")"),0)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IFERROR(__xludf.DUMMYFUNCTION("IMPORTRANGE(""https://docs.google.com/spreadsheets/d/1XL5vhW3sbDhbH9Cz0tuDiY8C3ctxq1tqvaCgkFb8cCA/edit?usp=sharing"",""ร้อยเอ็ด!I263"")"),85)</f>
        <v>85</v>
      </c>
      <c r="J368" s="189">
        <f ca="1">IFERROR(__xludf.DUMMYFUNCTION("IMPORTRANGE(""https://docs.google.com/spreadsheets/d/1XL5vhW3sbDhbH9Cz0tuDiY8C3ctxq1tqvaCgkFb8cCA/edit?usp=sharing"",""ร้อยเอ็ด!J263"")"),0)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IFERROR(__xludf.DUMMYFUNCTION("IMPORTRANGE(""https://docs.google.com/spreadsheets/d/1XL5vhW3sbDhbH9Cz0tuDiY8C3ctxq1tqvaCgkFb8cCA/edit?usp=sharing"",""ร้อยเอ็ด!I164"")"),0)</f>
        <v>0</v>
      </c>
      <c r="J369" s="205">
        <f ca="1">IFERROR(__xludf.DUMMYFUNCTION("IMPORTRANGE(""https://docs.google.com/spreadsheets/d/1XL5vhW3sbDhbH9Cz0tuDiY8C3ctxq1tqvaCgkFb8cCA/edit?usp=sharing"",""ร้อยเอ็ด!J164"")"),0)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IFERROR(__xludf.DUMMYFUNCTION("IMPORTRANGE(""https://docs.google.com/spreadsheets/d/1XL5vhW3sbDhbH9Cz0tuDiY8C3ctxq1tqvaCgkFb8cCA/edit?usp=sharing"",""ร้อยเอ็ด!I265"")"),85)</f>
        <v>85</v>
      </c>
      <c r="J370" s="205">
        <f ca="1">IFERROR(__xludf.DUMMYFUNCTION("IMPORTRANGE(""https://docs.google.com/spreadsheets/d/1XL5vhW3sbDhbH9Cz0tuDiY8C3ctxq1tqvaCgkFb8cCA/edit?usp=sharing"",""ร้อยเอ็ด!J265"")"),0)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IFERROR(__xludf.DUMMYFUNCTION("IMPORTRANGE(""https://docs.google.com/spreadsheets/d/1XL5vhW3sbDhbH9Cz0tuDiY8C3ctxq1tqvaCgkFb8cCA/edit?usp=sharing"",""ร้อยเอ็ด!I164"")"),0)</f>
        <v>0</v>
      </c>
      <c r="J371" s="190">
        <f ca="1">IFERROR(__xludf.DUMMYFUNCTION("IMPORTRANGE(""https://docs.google.com/spreadsheets/d/1XL5vhW3sbDhbH9Cz0tuDiY8C3ctxq1tqvaCgkFb8cCA/edit?usp=sharing"",""ร้อยเอ็ด!J164"")"),0)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IFERROR(__xludf.DUMMYFUNCTION("IMPORTRANGE(""https://docs.google.com/spreadsheets/d/1XL5vhW3sbDhbH9Cz0tuDiY8C3ctxq1tqvaCgkFb8cCA/edit?usp=sharing"",""ร้อยเอ็ด!I267"")"),85)</f>
        <v>85</v>
      </c>
      <c r="J372" s="190">
        <f ca="1">IFERROR(__xludf.DUMMYFUNCTION("IMPORTRANGE(""https://docs.google.com/spreadsheets/d/1XL5vhW3sbDhbH9Cz0tuDiY8C3ctxq1tqvaCgkFb8cCA/edit?usp=sharing"",""ร้อยเอ็ด!J267"")"),0)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IFERROR(__xludf.DUMMYFUNCTION("IMPORTRANGE(""https://docs.google.com/spreadsheets/d/1XL5vhW3sbDhbH9Cz0tuDiY8C3ctxq1tqvaCgkFb8cCA/edit?usp=sharing"",""ร้อยเอ็ด!I164"")"),0)</f>
        <v>0</v>
      </c>
      <c r="J373" s="205">
        <f ca="1">IFERROR(__xludf.DUMMYFUNCTION("IMPORTRANGE(""https://docs.google.com/spreadsheets/d/1XL5vhW3sbDhbH9Cz0tuDiY8C3ctxq1tqvaCgkFb8cCA/edit?usp=sharing"",""ร้อยเอ็ด!J164"")"),0)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IFERROR(__xludf.DUMMYFUNCTION("IMPORTRANGE(""https://docs.google.com/spreadsheets/d/1XL5vhW3sbDhbH9Cz0tuDiY8C3ctxq1tqvaCgkFb8cCA/edit?usp=sharing"",""ร้อยเอ็ด!I164"")"),0)</f>
        <v>0</v>
      </c>
      <c r="J374" s="189">
        <f ca="1">IFERROR(__xludf.DUMMYFUNCTION("IMPORTRANGE(""https://docs.google.com/spreadsheets/d/1XL5vhW3sbDhbH9Cz0tuDiY8C3ctxq1tqvaCgkFb8cCA/edit?usp=sharing"",""ร้อยเอ็ด!J164"")"),0)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IFERROR(__xludf.DUMMYFUNCTION("IMPORTRANGE(""https://docs.google.com/spreadsheets/d/1XL5vhW3sbDhbH9Cz0tuDiY8C3ctxq1tqvaCgkFb8cCA/edit?usp=sharing"",""ร้อยเอ็ด!I270"")"),403)</f>
        <v>403</v>
      </c>
      <c r="J375" s="189">
        <f ca="1">IFERROR(__xludf.DUMMYFUNCTION("IMPORTRANGE(""https://docs.google.com/spreadsheets/d/1XL5vhW3sbDhbH9Cz0tuDiY8C3ctxq1tqvaCgkFb8cCA/edit?usp=sharing"",""ร้อยเอ็ด!J270"")"),0)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IFERROR(__xludf.DUMMYFUNCTION("IMPORTRANGE(""https://docs.google.com/spreadsheets/d/1XL5vhW3sbDhbH9Cz0tuDiY8C3ctxq1tqvaCgkFb8cCA/edit?usp=sharing"",""ร้อยเอ็ด!I271"")"),180)</f>
        <v>180</v>
      </c>
      <c r="J376" s="190">
        <f ca="1">IFERROR(__xludf.DUMMYFUNCTION("IMPORTRANGE(""https://docs.google.com/spreadsheets/d/1XL5vhW3sbDhbH9Cz0tuDiY8C3ctxq1tqvaCgkFb8cCA/edit?usp=sharing"",""ร้อยเอ็ด!J271"")"),0)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IFERROR(__xludf.DUMMYFUNCTION("IMPORTRANGE(""https://docs.google.com/spreadsheets/d/1XL5vhW3sbDhbH9Cz0tuDiY8C3ctxq1tqvaCgkFb8cCA/edit?usp=sharing"",""ร้อยเอ็ด!I272"")"),223)</f>
        <v>223</v>
      </c>
      <c r="J377" s="205">
        <f ca="1">IFERROR(__xludf.DUMMYFUNCTION("IMPORTRANGE(""https://docs.google.com/spreadsheets/d/1XL5vhW3sbDhbH9Cz0tuDiY8C3ctxq1tqvaCgkFb8cCA/edit?usp=sharing"",""ร้อยเอ็ด!J272"")"),0)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IFERROR(__xludf.DUMMYFUNCTION("IMPORTRANGE(""https://docs.google.com/spreadsheets/d/1XL5vhW3sbDhbH9Cz0tuDiY8C3ctxq1tqvaCgkFb8cCA/edit?usp=sharing"",""ร้อยเอ็ด!J273"")"),0)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IFERROR(__xludf.DUMMYFUNCTION("IMPORTRANGE(""https://docs.google.com/spreadsheets/d/1XL5vhW3sbDhbH9Cz0tuDiY8C3ctxq1tqvaCgkFb8cCA/edit?usp=sharing"",""ร้อยเอ็ด!J274"")"),0)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IFERROR(__xludf.DUMMYFUNCTION("IMPORTRANGE(""https://docs.google.com/spreadsheets/d/1XL5vhW3sbDhbH9Cz0tuDiY8C3ctxq1tqvaCgkFb8cCA/edit?usp=sharing"",""ร้อยเอ็ด!M275"")"),273379.04)</f>
        <v>273379.03999999998</v>
      </c>
      <c r="O380" s="373">
        <f ca="1">+IF(L380&gt;0,N380*100/L380,0)</f>
        <v>26.57984677011628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IFERROR(__xludf.DUMMYFUNCTION("IMPORTRANGE(""https://docs.google.com/spreadsheets/d/1XL5vhW3sbDhbH9Cz0tuDiY8C3ctxq1tqvaCgkFb8cCA/edit?usp=sharing"",""ร้อยเอ็ด!L277"")"),0)</f>
        <v>0</v>
      </c>
      <c r="M382" s="166"/>
      <c r="N382" s="166">
        <f ca="1">IFERROR(__xludf.DUMMYFUNCTION("IMPORTRANGE(""https://docs.google.com/spreadsheets/d/1XL5vhW3sbDhbH9Cz0tuDiY8C3ctxq1tqvaCgkFb8cCA/edit?usp=sharing"",""ร้อยเอ็ด!M277"")"),0)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IFERROR(__xludf.DUMMYFUNCTION("IMPORTRANGE(""https://docs.google.com/spreadsheets/d/1XL5vhW3sbDhbH9Cz0tuDiY8C3ctxq1tqvaCgkFb8cCA/edit?usp=sharing"",""ร้อยเอ็ด!L278"")"),1028520)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IFERROR(__xludf.DUMMYFUNCTION("IMPORTRANGE(""https://docs.google.com/spreadsheets/d/1XL5vhW3sbDhbH9Cz0tuDiY8C3ctxq1tqvaCgkFb8cCA/edit?usp=sharing"",""ร้อยเอ็ด!M278"")"),273379.04)</f>
        <v>273379.03999999998</v>
      </c>
      <c r="O383" s="167">
        <f t="shared" ca="1" si="109"/>
        <v>26.57984677011628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IFERROR(__xludf.DUMMYFUNCTION("IMPORTRANGE(""https://docs.google.com/spreadsheets/d/1XL5vhW3sbDhbH9Cz0tuDiY8C3ctxq1tqvaCgkFb8cCA/edit?usp=sharing"",""ร้อยเอ็ด!L279"")"),0)</f>
        <v>0</v>
      </c>
      <c r="M384" s="170"/>
      <c r="N384" s="170">
        <f ca="1">IFERROR(__xludf.DUMMYFUNCTION("IMPORTRANGE(""https://docs.google.com/spreadsheets/d/1XL5vhW3sbDhbH9Cz0tuDiY8C3ctxq1tqvaCgkFb8cCA/edit?usp=sharing"",""ร้อยเอ็ด!M279"")"),0)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IFERROR(__xludf.DUMMYFUNCTION("IMPORTRANGE(""https://docs.google.com/spreadsheets/d/1XL5vhW3sbDhbH9Cz0tuDiY8C3ctxq1tqvaCgkFb8cCA/edit?usp=sharing"",""ร้อยเอ็ด!L280"")"),1028520)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IFERROR(__xludf.DUMMYFUNCTION("IMPORTRANGE(""https://docs.google.com/spreadsheets/d/1XL5vhW3sbDhbH9Cz0tuDiY8C3ctxq1tqvaCgkFb8cCA/edit?usp=sharing"",""ร้อยเอ็ด!M280"")"),273379.04)</f>
        <v>273379.03999999998</v>
      </c>
      <c r="O385" s="170">
        <f t="shared" ca="1" si="109"/>
        <v>26.57984677011628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IFERROR(__xludf.DUMMYFUNCTION("IMPORTRANGE(""https://docs.google.com/spreadsheets/d/1XL5vhW3sbDhbH9Cz0tuDiY8C3ctxq1tqvaCgkFb8cCA/edit?usp=sharing"",""ร้อยเอ็ด!M281"")"),162140)</f>
        <v>162140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IFERROR(__xludf.DUMMYFUNCTION("IMPORTRANGE(""https://docs.google.com/spreadsheets/d/1XL5vhW3sbDhbH9Cz0tuDiY8C3ctxq1tqvaCgkFb8cCA/edit?usp=sharing"",""ร้อยเอ็ด!M282"")"),62000)</f>
        <v>62000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IFERROR(__xludf.DUMMYFUNCTION("IMPORTRANGE(""https://docs.google.com/spreadsheets/d/1XL5vhW3sbDhbH9Cz0tuDiY8C3ctxq1tqvaCgkFb8cCA/edit?usp=sharing"",""ร้อยเอ็ด!M283"")"),39032.04)</f>
        <v>39032.04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IFERROR(__xludf.DUMMYFUNCTION("IMPORTRANGE(""https://docs.google.com/spreadsheets/d/1XL5vhW3sbDhbH9Cz0tuDiY8C3ctxq1tqvaCgkFb8cCA/edit?usp=sharing"",""ร้อยเอ็ด!M284"")"),10207)</f>
        <v>10207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IFERROR(__xludf.DUMMYFUNCTION("IMPORTRANGE(""https://docs.google.com/spreadsheets/d/1XL5vhW3sbDhbH9Cz0tuDiY8C3ctxq1tqvaCgkFb8cCA/edit?usp=sharing"",""ร้อยเอ็ด!J286"")"),0)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IFERROR(__xludf.DUMMYFUNCTION("IMPORTRANGE(""https://docs.google.com/spreadsheets/d/1XL5vhW3sbDhbH9Cz0tuDiY8C3ctxq1tqvaCgkFb8cCA/edit?usp=sharing"",""ร้อยเอ็ด!J287"")"),1)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IFERROR(__xludf.DUMMYFUNCTION("IMPORTRANGE(""https://docs.google.com/spreadsheets/d/1XL5vhW3sbDhbH9Cz0tuDiY8C3ctxq1tqvaCgkFb8cCA/edit?usp=sharing"",""ร้อยเอ็ด!J288"")"),1)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IFERROR(__xludf.DUMMYFUNCTION("IMPORTRANGE(""https://docs.google.com/spreadsheets/d/1XL5vhW3sbDhbH9Cz0tuDiY8C3ctxq1tqvaCgkFb8cCA/edit?usp=sharing"",""ร้อยเอ็ด!J289"")"),1)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IFERROR(__xludf.DUMMYFUNCTION("IMPORTRANGE(""https://docs.google.com/spreadsheets/d/1XL5vhW3sbDhbH9Cz0tuDiY8C3ctxq1tqvaCgkFb8cCA/edit?usp=sharing"",""ร้อยเอ็ด!I291"")"),100)</f>
        <v>100</v>
      </c>
      <c r="J396" s="199">
        <f ca="1">IFERROR(__xludf.DUMMYFUNCTION("IMPORTRANGE(""https://docs.google.com/spreadsheets/d/1XL5vhW3sbDhbH9Cz0tuDiY8C3ctxq1tqvaCgkFb8cCA/edit?usp=sharing"",""ร้อยเอ็ด!J291"")"),100)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IFERROR(__xludf.DUMMYFUNCTION("IMPORTRANGE(""https://docs.google.com/spreadsheets/d/1XL5vhW3sbDhbH9Cz0tuDiY8C3ctxq1tqvaCgkFb8cCA/edit?usp=sharing"",""ร้อยเอ็ด!I292"")"),1000)</f>
        <v>1000</v>
      </c>
      <c r="J397" s="199">
        <f ca="1">IFERROR(__xludf.DUMMYFUNCTION("IMPORTRANGE(""https://docs.google.com/spreadsheets/d/1XL5vhW3sbDhbH9Cz0tuDiY8C3ctxq1tqvaCgkFb8cCA/edit?usp=sharing"",""ร้อยเอ็ด!J292"")"),1000)</f>
        <v>1000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IFERROR(__xludf.DUMMYFUNCTION("IMPORTRANGE(""https://docs.google.com/spreadsheets/d/1XL5vhW3sbDhbH9Cz0tuDiY8C3ctxq1tqvaCgkFb8cCA/edit?usp=sharing"",""ร้อยเอ็ด!I293"")"),100)</f>
        <v>100</v>
      </c>
      <c r="J398" s="199">
        <f ca="1">IFERROR(__xludf.DUMMYFUNCTION("IMPORTRANGE(""https://docs.google.com/spreadsheets/d/1XL5vhW3sbDhbH9Cz0tuDiY8C3ctxq1tqvaCgkFb8cCA/edit?usp=sharing"",""ร้อยเอ็ด!J293"")"),0)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IFERROR(__xludf.DUMMYFUNCTION("IMPORTRANGE(""https://docs.google.com/spreadsheets/d/1XL5vhW3sbDhbH9Cz0tuDiY8C3ctxq1tqvaCgkFb8cCA/edit?usp=sharing"",""ร้อยเอ็ด!J294"")"),0)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IFERROR(__xludf.DUMMYFUNCTION("IMPORTRANGE(""https://docs.google.com/spreadsheets/d/1XL5vhW3sbDhbH9Cz0tuDiY8C3ctxq1tqvaCgkFb8cCA/edit?usp=sharing"",""ร้อยเอ็ด!M296"")"),131669)</f>
        <v>131669</v>
      </c>
      <c r="O401" s="373">
        <f ca="1">+IF(L401&gt;0,N401*100/L401,0)</f>
        <v>74.961001992598923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IFERROR(__xludf.DUMMYFUNCTION("IMPORTRANGE(""https://docs.google.com/spreadsheets/d/1XL5vhW3sbDhbH9Cz0tuDiY8C3ctxq1tqvaCgkFb8cCA/edit?usp=sharing"",""ร้อยเอ็ด!L298"")"),0)</f>
        <v>0</v>
      </c>
      <c r="M403" s="166"/>
      <c r="N403" s="170">
        <f ca="1">IFERROR(__xludf.DUMMYFUNCTION("IMPORTRANGE(""https://docs.google.com/spreadsheets/d/1XL5vhW3sbDhbH9Cz0tuDiY8C3ctxq1tqvaCgkFb8cCA/edit?usp=sharing"",""ร้อยเอ็ด!M298"")"),0)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IFERROR(__xludf.DUMMYFUNCTION("IMPORTRANGE(""https://docs.google.com/spreadsheets/d/1XL5vhW3sbDhbH9Cz0tuDiY8C3ctxq1tqvaCgkFb8cCA/edit?usp=sharing"",""ร้อยเอ็ด!L299"")"),175650)</f>
        <v>175650</v>
      </c>
      <c r="M404" s="167"/>
      <c r="N404" s="170">
        <f ca="1">IFERROR(__xludf.DUMMYFUNCTION("IMPORTRANGE(""https://docs.google.com/spreadsheets/d/1XL5vhW3sbDhbH9Cz0tuDiY8C3ctxq1tqvaCgkFb8cCA/edit?usp=sharing"",""ร้อยเอ็ด!M299"")"),131669)</f>
        <v>131669</v>
      </c>
      <c r="O404" s="170">
        <f t="shared" ca="1" si="112"/>
        <v>74.961001992598923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IFERROR(__xludf.DUMMYFUNCTION("IMPORTRANGE(""https://docs.google.com/spreadsheets/d/1XL5vhW3sbDhbH9Cz0tuDiY8C3ctxq1tqvaCgkFb8cCA/edit?usp=sharing"",""ร้อยเอ็ด!L300"")"),0)</f>
        <v>0</v>
      </c>
      <c r="M405" s="170"/>
      <c r="N405" s="170">
        <f ca="1">IFERROR(__xludf.DUMMYFUNCTION("IMPORTRANGE(""https://docs.google.com/spreadsheets/d/1XL5vhW3sbDhbH9Cz0tuDiY8C3ctxq1tqvaCgkFb8cCA/edit?usp=sharing"",""ร้อยเอ็ด!M300"")"),0)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IFERROR(__xludf.DUMMYFUNCTION("IMPORTRANGE(""https://docs.google.com/spreadsheets/d/1XL5vhW3sbDhbH9Cz0tuDiY8C3ctxq1tqvaCgkFb8cCA/edit?usp=sharing"",""ร้อยเอ็ด!L301"")"),175650)</f>
        <v>175650</v>
      </c>
      <c r="M406" s="170"/>
      <c r="N406" s="170">
        <f ca="1">IFERROR(__xludf.DUMMYFUNCTION("IMPORTRANGE(""https://docs.google.com/spreadsheets/d/1XL5vhW3sbDhbH9Cz0tuDiY8C3ctxq1tqvaCgkFb8cCA/edit?usp=sharing"",""ร้อยเอ็ด!M301"")"),131669)</f>
        <v>131669</v>
      </c>
      <c r="O406" s="170">
        <f t="shared" ca="1" si="112"/>
        <v>74.961001992598923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IFERROR(__xludf.DUMMYFUNCTION("IMPORTRANGE(""https://docs.google.com/spreadsheets/d/1XL5vhW3sbDhbH9Cz0tuDiY8C3ctxq1tqvaCgkFb8cCA/edit?usp=sharing"",""ร้อยเอ็ด!M302"")"),103624)</f>
        <v>103624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IFERROR(__xludf.DUMMYFUNCTION("IMPORTRANGE(""https://docs.google.com/spreadsheets/d/1XL5vhW3sbDhbH9Cz0tuDiY8C3ctxq1tqvaCgkFb8cCA/edit?usp=sharing"",""ร้อยเอ็ด!M303"")"),0)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IFERROR(__xludf.DUMMYFUNCTION("IMPORTRANGE(""https://docs.google.com/spreadsheets/d/1XL5vhW3sbDhbH9Cz0tuDiY8C3ctxq1tqvaCgkFb8cCA/edit?usp=sharing"",""ร้อยเอ็ด!M305"")"),28045)</f>
        <v>28045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IFERROR(__xludf.DUMMYFUNCTION("IMPORTRANGE(""https://docs.google.com/spreadsheets/d/1XL5vhW3sbDhbH9Cz0tuDiY8C3ctxq1tqvaCgkFb8cCA/edit?usp=sharing"",""ร้อยเอ็ด!J307"")"),0)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IFERROR(__xludf.DUMMYFUNCTION("IMPORTRANGE(""https://docs.google.com/spreadsheets/d/1XL5vhW3sbDhbH9Cz0tuDiY8C3ctxq1tqvaCgkFb8cCA/edit?usp=sharing"",""ร้อยเอ็ด!J308"")"),1)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IFERROR(__xludf.DUMMYFUNCTION("IMPORTRANGE(""https://docs.google.com/spreadsheets/d/1XL5vhW3sbDhbH9Cz0tuDiY8C3ctxq1tqvaCgkFb8cCA/edit?usp=sharing"",""ร้อยเอ็ด!J309"")"),1)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IFERROR(__xludf.DUMMYFUNCTION("IMPORTRANGE(""https://docs.google.com/spreadsheets/d/1XL5vhW3sbDhbH9Cz0tuDiY8C3ctxq1tqvaCgkFb8cCA/edit?usp=sharing"",""ร้อยเอ็ด!J310"")"),1)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IFERROR(__xludf.DUMMYFUNCTION("IMPORTRANGE(""https://docs.google.com/spreadsheets/d/1XL5vhW3sbDhbH9Cz0tuDiY8C3ctxq1tqvaCgkFb8cCA/edit?usp=sharing"",""ร้อยเอ็ด!I311"")"),50)</f>
        <v>50</v>
      </c>
      <c r="J416" s="202">
        <f ca="1">IFERROR(__xludf.DUMMYFUNCTION("IMPORTRANGE(""https://docs.google.com/spreadsheets/d/1XL5vhW3sbDhbH9Cz0tuDiY8C3ctxq1tqvaCgkFb8cCA/edit?usp=sharing"",""ร้อยเอ็ด!J311"")"),50)</f>
        <v>50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IFERROR(__xludf.DUMMYFUNCTION("IMPORTRANGE(""https://docs.google.com/spreadsheets/d/1XL5vhW3sbDhbH9Cz0tuDiY8C3ctxq1tqvaCgkFb8cCA/edit?usp=sharing"",""ร้อยเอ็ด!J328"")"),0)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IFERROR(__xludf.DUMMYFUNCTION("IMPORTRANGE(""https://docs.google.com/spreadsheets/d/1XL5vhW3sbDhbH9Cz0tuDiY8C3ctxq1tqvaCgkFb8cCA/edit?usp=sharing"",""ร้อยเอ็ด!J329"")"),0)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IFERROR(__xludf.DUMMYFUNCTION("IMPORTRANGE(""https://docs.google.com/spreadsheets/d/1XL5vhW3sbDhbH9Cz0tuDiY8C3ctxq1tqvaCgkFb8cCA/edit?usp=sharing"",""ร้อยเอ็ด!M330"")"),25780)</f>
        <v>25780</v>
      </c>
      <c r="O435" s="412">
        <f t="shared" ref="O435:O439" ca="1" si="114">+IF(L435&gt;0,N435*100/L435,0)</f>
        <v>29.295454545454547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IFERROR(__xludf.DUMMYFUNCTION("IMPORTRANGE(""https://docs.google.com/spreadsheets/d/1XL5vhW3sbDhbH9Cz0tuDiY8C3ctxq1tqvaCgkFb8cCA/edit?usp=sharing"",""ร้อยเอ็ด!L331"")"),0)</f>
        <v>0</v>
      </c>
      <c r="M436" s="166"/>
      <c r="N436" s="170">
        <f ca="1">IFERROR(__xludf.DUMMYFUNCTION("IMPORTRANGE(""https://docs.google.com/spreadsheets/d/1XL5vhW3sbDhbH9Cz0tuDiY8C3ctxq1tqvaCgkFb8cCA/edit?usp=sharing"",""ร้อยเอ็ด!M331"")"),0)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IFERROR(__xludf.DUMMYFUNCTION("IMPORTRANGE(""https://docs.google.com/spreadsheets/d/1XL5vhW3sbDhbH9Cz0tuDiY8C3ctxq1tqvaCgkFb8cCA/edit?usp=sharing"",""ร้อยเอ็ด!L332"")"),88000)</f>
        <v>88000</v>
      </c>
      <c r="M437" s="167"/>
      <c r="N437" s="170">
        <f ca="1">IFERROR(__xludf.DUMMYFUNCTION("IMPORTRANGE(""https://docs.google.com/spreadsheets/d/1XL5vhW3sbDhbH9Cz0tuDiY8C3ctxq1tqvaCgkFb8cCA/edit?usp=sharing"",""ร้อยเอ็ด!M332"")"),25780)</f>
        <v>25780</v>
      </c>
      <c r="O437" s="170">
        <f t="shared" ca="1" si="114"/>
        <v>29.295454545454547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IFERROR(__xludf.DUMMYFUNCTION("IMPORTRANGE(""https://docs.google.com/spreadsheets/d/1XL5vhW3sbDhbH9Cz0tuDiY8C3ctxq1tqvaCgkFb8cCA/edit?usp=sharing"",""ร้อยเอ็ด!L333"")"),0)</f>
        <v>0</v>
      </c>
      <c r="M438" s="170"/>
      <c r="N438" s="170">
        <f ca="1">IFERROR(__xludf.DUMMYFUNCTION("IMPORTRANGE(""https://docs.google.com/spreadsheets/d/1XL5vhW3sbDhbH9Cz0tuDiY8C3ctxq1tqvaCgkFb8cCA/edit?usp=sharing"",""ร้อยเอ็ด!M333"")"),0)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IFERROR(__xludf.DUMMYFUNCTION("IMPORTRANGE(""https://docs.google.com/spreadsheets/d/1XL5vhW3sbDhbH9Cz0tuDiY8C3ctxq1tqvaCgkFb8cCA/edit?usp=sharing"",""ร้อยเอ็ด!L334"")"),88000)</f>
        <v>88000</v>
      </c>
      <c r="M439" s="170"/>
      <c r="N439" s="170">
        <f ca="1">IFERROR(__xludf.DUMMYFUNCTION("IMPORTRANGE(""https://docs.google.com/spreadsheets/d/1XL5vhW3sbDhbH9Cz0tuDiY8C3ctxq1tqvaCgkFb8cCA/edit?usp=sharing"",""ร้อยเอ็ด!M334"")"),25780)</f>
        <v>25780</v>
      </c>
      <c r="O439" s="170">
        <f t="shared" ca="1" si="114"/>
        <v>29.295454545454547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IFERROR(__xludf.DUMMYFUNCTION("IMPORTRANGE(""https://docs.google.com/spreadsheets/d/1XL5vhW3sbDhbH9Cz0tuDiY8C3ctxq1tqvaCgkFb8cCA/edit?usp=sharing"",""ร้อยเอ็ด!M335"")"),25780)</f>
        <v>25780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IFERROR(__xludf.DUMMYFUNCTION("IMPORTRANGE(""https://docs.google.com/spreadsheets/d/1XL5vhW3sbDhbH9Cz0tuDiY8C3ctxq1tqvaCgkFb8cCA/edit?usp=sharing"",""ร้อยเอ็ด!M338"")"),0)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IFERROR(__xludf.DUMMYFUNCTION("IMPORTRANGE(""https://docs.google.com/spreadsheets/d/1XL5vhW3sbDhbH9Cz0tuDiY8C3ctxq1tqvaCgkFb8cCA/edit?usp=sharing"",""ร้อยเอ็ด!J341"")"),1)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IFERROR(__xludf.DUMMYFUNCTION("IMPORTRANGE(""https://docs.google.com/spreadsheets/d/1XL5vhW3sbDhbH9Cz0tuDiY8C3ctxq1tqvaCgkFb8cCA/edit?usp=sharing"",""ร้อยเอ็ด!J342"")"),1)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IFERROR(__xludf.DUMMYFUNCTION("IMPORTRANGE(""https://docs.google.com/spreadsheets/d/1XL5vhW3sbDhbH9Cz0tuDiY8C3ctxq1tqvaCgkFb8cCA/edit?usp=sharing"",""ร้อยเอ็ด!J343"")"),1)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2">
        <f ca="1">IFERROR(__xludf.DUMMYFUNCTION("IMPORTRANGE(""https://docs.google.com/spreadsheets/d/1XL5vhW3sbDhbH9Cz0tuDiY8C3ctxq1tqvaCgkFb8cCA/edit?usp=sharing"",""ร้อยเอ็ด!J344"")"),15)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IFERROR(__xludf.DUMMYFUNCTION("IMPORTRANGE(""https://docs.google.com/spreadsheets/d/1XL5vhW3sbDhbH9Cz0tuDiY8C3ctxq1tqvaCgkFb8cCA/edit?usp=sharing"",""ร้อยเอ็ด!I345"")"),15)</f>
        <v>15</v>
      </c>
      <c r="J450" s="190">
        <f ca="1">IFERROR(__xludf.DUMMYFUNCTION("IMPORTRANGE(""https://docs.google.com/spreadsheets/d/1XL5vhW3sbDhbH9Cz0tuDiY8C3ctxq1tqvaCgkFb8cCA/edit?usp=sharing"",""ร้อยเอ็ด!J345"")"),15)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IFERROR(__xludf.DUMMYFUNCTION("IMPORTRANGE(""https://docs.google.com/spreadsheets/d/1XL5vhW3sbDhbH9Cz0tuDiY8C3ctxq1tqvaCgkFb8cCA/edit?usp=sharing"",""ร้อยเอ็ด!I346"")"),0)</f>
        <v>0</v>
      </c>
      <c r="J451" s="189">
        <f ca="1">IFERROR(__xludf.DUMMYFUNCTION("IMPORTRANGE(""https://docs.google.com/spreadsheets/d/1XL5vhW3sbDhbH9Cz0tuDiY8C3ctxq1tqvaCgkFb8cCA/edit?usp=sharing"",""ร้อยเอ็ด!J346"")"),0)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IFERROR(__xludf.DUMMYFUNCTION("IMPORTRANGE(""https://docs.google.com/spreadsheets/d/1XL5vhW3sbDhbH9Cz0tuDiY8C3ctxq1tqvaCgkFb8cCA/edit?usp=sharing"",""ร้อยเอ็ด!I347"")"),0)</f>
        <v>0</v>
      </c>
      <c r="J452" s="189">
        <f ca="1">IFERROR(__xludf.DUMMYFUNCTION("IMPORTRANGE(""https://docs.google.com/spreadsheets/d/1XL5vhW3sbDhbH9Cz0tuDiY8C3ctxq1tqvaCgkFb8cCA/edit?usp=sharing"",""ร้อยเอ็ด!J347"")"),0)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IFERROR(__xludf.DUMMYFUNCTION("IMPORTRANGE(""https://docs.google.com/spreadsheets/d/1XL5vhW3sbDhbH9Cz0tuDiY8C3ctxq1tqvaCgkFb8cCA/edit?usp=sharing"",""ร้อยเอ็ด!J348"")"),0)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IFERROR(__xludf.DUMMYFUNCTION("IMPORTRANGE(""https://docs.google.com/spreadsheets/d/1XL5vhW3sbDhbH9Cz0tuDiY8C3ctxq1tqvaCgkFb8cCA/edit?usp=sharing"",""ร้อยเอ็ด!J349"")"),0)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IFERROR(__xludf.DUMMYFUNCTION("IMPORTRANGE(""https://docs.google.com/spreadsheets/d/1XL5vhW3sbDhbH9Cz0tuDiY8C3ctxq1tqvaCgkFb8cCA/edit?usp=sharing"",""ร้อยเอ็ด!L350"")"),467053)</f>
        <v>467053</v>
      </c>
      <c r="M455" s="373"/>
      <c r="N455" s="373">
        <f ca="1">IFERROR(__xludf.DUMMYFUNCTION("IMPORTRANGE(""https://docs.google.com/spreadsheets/d/1XL5vhW3sbDhbH9Cz0tuDiY8C3ctxq1tqvaCgkFb8cCA/edit?usp=sharing"",""ร้อยเอ็ด!M350"")"),127457.28)</f>
        <v>127457.28</v>
      </c>
      <c r="O455" s="373">
        <f t="shared" ref="O455:O459" ca="1" si="116">+IF(L455&gt;0,N455*100/L455,0)</f>
        <v>27.289682327273351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IFERROR(__xludf.DUMMYFUNCTION("IMPORTRANGE(""https://docs.google.com/spreadsheets/d/1XL5vhW3sbDhbH9Cz0tuDiY8C3ctxq1tqvaCgkFb8cCA/edit?usp=sharing"",""ร้อยเอ็ด!L351"")"),0)</f>
        <v>0</v>
      </c>
      <c r="M456" s="166"/>
      <c r="N456" s="170">
        <f ca="1">IFERROR(__xludf.DUMMYFUNCTION("IMPORTRANGE(""https://docs.google.com/spreadsheets/d/1XL5vhW3sbDhbH9Cz0tuDiY8C3ctxq1tqvaCgkFb8cCA/edit?usp=sharing"",""ร้อยเอ็ด!M351"")"),0)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IFERROR(__xludf.DUMMYFUNCTION("IMPORTRANGE(""https://docs.google.com/spreadsheets/d/1XL5vhW3sbDhbH9Cz0tuDiY8C3ctxq1tqvaCgkFb8cCA/edit?usp=sharing"",""ร้อยเอ็ด!L352"")"),467053)</f>
        <v>467053</v>
      </c>
      <c r="M457" s="167"/>
      <c r="N457" s="170">
        <f ca="1">IFERROR(__xludf.DUMMYFUNCTION("IMPORTRANGE(""https://docs.google.com/spreadsheets/d/1XL5vhW3sbDhbH9Cz0tuDiY8C3ctxq1tqvaCgkFb8cCA/edit?usp=sharing"",""ร้อยเอ็ด!M352"")"),127457.28)</f>
        <v>127457.28</v>
      </c>
      <c r="O457" s="170">
        <f t="shared" ca="1" si="116"/>
        <v>27.289682327273351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IFERROR(__xludf.DUMMYFUNCTION("IMPORTRANGE(""https://docs.google.com/spreadsheets/d/1XL5vhW3sbDhbH9Cz0tuDiY8C3ctxq1tqvaCgkFb8cCA/edit?usp=sharing"",""ร้อยเอ็ด!L353"")"),0)</f>
        <v>0</v>
      </c>
      <c r="M458" s="170"/>
      <c r="N458" s="170">
        <f ca="1">IFERROR(__xludf.DUMMYFUNCTION("IMPORTRANGE(""https://docs.google.com/spreadsheets/d/1XL5vhW3sbDhbH9Cz0tuDiY8C3ctxq1tqvaCgkFb8cCA/edit?usp=sharing"",""ร้อยเอ็ด!M353"")"),0)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IFERROR(__xludf.DUMMYFUNCTION("IMPORTRANGE(""https://docs.google.com/spreadsheets/d/1XL5vhW3sbDhbH9Cz0tuDiY8C3ctxq1tqvaCgkFb8cCA/edit?usp=sharing"",""ร้อยเอ็ด!L354"")"),467053)</f>
        <v>467053</v>
      </c>
      <c r="M459" s="170"/>
      <c r="N459" s="170">
        <f ca="1">IFERROR(__xludf.DUMMYFUNCTION("IMPORTRANGE(""https://docs.google.com/spreadsheets/d/1XL5vhW3sbDhbH9Cz0tuDiY8C3ctxq1tqvaCgkFb8cCA/edit?usp=sharing"",""ร้อยเอ็ด!M354"")"),127457.28)</f>
        <v>127457.28</v>
      </c>
      <c r="O459" s="170">
        <f t="shared" ca="1" si="116"/>
        <v>27.289682327273351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IFERROR(__xludf.DUMMYFUNCTION("IMPORTRANGE(""https://docs.google.com/spreadsheets/d/1XL5vhW3sbDhbH9Cz0tuDiY8C3ctxq1tqvaCgkFb8cCA/edit?usp=sharing"",""ร้อยเอ็ด!M355"")"),0)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IFERROR(__xludf.DUMMYFUNCTION("IMPORTRANGE(""https://docs.google.com/spreadsheets/d/1XL5vhW3sbDhbH9Cz0tuDiY8C3ctxq1tqvaCgkFb8cCA/edit?usp=sharing"",""ร้อยเอ็ด!M356"")"),0)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IFERROR(__xludf.DUMMYFUNCTION("IMPORTRANGE(""https://docs.google.com/spreadsheets/d/1XL5vhW3sbDhbH9Cz0tuDiY8C3ctxq1tqvaCgkFb8cCA/edit?usp=sharing"",""ร้อยเอ็ด!M357"")"),39032.28)</f>
        <v>39032.28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IFERROR(__xludf.DUMMYFUNCTION("IMPORTRANGE(""https://docs.google.com/spreadsheets/d/1XL5vhW3sbDhbH9Cz0tuDiY8C3ctxq1tqvaCgkFb8cCA/edit?usp=sharing"",""ร้อยเอ็ด!M358"")"),88425)</f>
        <v>88425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IFERROR(__xludf.DUMMYFUNCTION("IMPORTRANGE(""https://docs.google.com/spreadsheets/d/1XL5vhW3sbDhbH9Cz0tuDiY8C3ctxq1tqvaCgkFb8cCA/edit?usp=sharing"",""ร้อยเอ็ด!J360"")"),47667)</f>
        <v>47667</v>
      </c>
      <c r="K465" s="203">
        <f t="shared" ca="1" si="117"/>
        <v>95.263505006295347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IFERROR(__xludf.DUMMYFUNCTION("IMPORTRANGE(""https://docs.google.com/spreadsheets/d/1XL5vhW3sbDhbH9Cz0tuDiY8C3ctxq1tqvaCgkFb8cCA/edit?usp=sharing"",""ร้อยเอ็ด!I362"")"),0)</f>
        <v>0</v>
      </c>
      <c r="J467" s="190">
        <f ca="1">IFERROR(__xludf.DUMMYFUNCTION("IMPORTRANGE(""https://docs.google.com/spreadsheets/d/1XL5vhW3sbDhbH9Cz0tuDiY8C3ctxq1tqvaCgkFb8cCA/edit?usp=sharing"",""ร้อยเอ็ด!J362"")"),44682)</f>
        <v>44682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IFERROR(__xludf.DUMMYFUNCTION("IMPORTRANGE(""https://docs.google.com/spreadsheets/d/1XL5vhW3sbDhbH9Cz0tuDiY8C3ctxq1tqvaCgkFb8cCA/edit?usp=sharing"",""ร้อยเอ็ด!I363"")"),0)</f>
        <v>0</v>
      </c>
      <c r="J468" s="190">
        <f ca="1">IFERROR(__xludf.DUMMYFUNCTION("IMPORTRANGE(""https://docs.google.com/spreadsheets/d/1XL5vhW3sbDhbH9Cz0tuDiY8C3ctxq1tqvaCgkFb8cCA/edit?usp=sharing"",""ร้อยเอ็ด!J363"")"),4852)</f>
        <v>4852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IFERROR(__xludf.DUMMYFUNCTION("IMPORTRANGE(""https://docs.google.com/spreadsheets/d/1XL5vhW3sbDhbH9Cz0tuDiY8C3ctxq1tqvaCgkFb8cCA/edit?usp=sharing"",""ร้อยเอ็ด!I364"")"),0)</f>
        <v>0</v>
      </c>
      <c r="J469" s="190">
        <f ca="1">IFERROR(__xludf.DUMMYFUNCTION("IMPORTRANGE(""https://docs.google.com/spreadsheets/d/1XL5vhW3sbDhbH9Cz0tuDiY8C3ctxq1tqvaCgkFb8cCA/edit?usp=sharing"",""ร้อยเอ็ด!J364"")"),1708)</f>
        <v>1708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IFERROR(__xludf.DUMMYFUNCTION("IMPORTRANGE(""https://docs.google.com/spreadsheets/d/1XL5vhW3sbDhbH9Cz0tuDiY8C3ctxq1tqvaCgkFb8cCA/edit?usp=sharing"",""ร้อยเอ็ด!I365"")"),0)</f>
        <v>0</v>
      </c>
      <c r="J470" s="190">
        <f ca="1">IFERROR(__xludf.DUMMYFUNCTION("IMPORTRANGE(""https://docs.google.com/spreadsheets/d/1XL5vhW3sbDhbH9Cz0tuDiY8C3ctxq1tqvaCgkFb8cCA/edit?usp=sharing"",""ร้อยเอ็ด!J365"")"),171)</f>
        <v>171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IFERROR(__xludf.DUMMYFUNCTION("IMPORTRANGE(""https://docs.google.com/spreadsheets/d/1XL5vhW3sbDhbH9Cz0tuDiY8C3ctxq1tqvaCgkFb8cCA/edit?usp=sharing"",""ร้อยเอ็ด!I366"")"),0)</f>
        <v>0</v>
      </c>
      <c r="J471" s="190">
        <f ca="1">IFERROR(__xludf.DUMMYFUNCTION("IMPORTRANGE(""https://docs.google.com/spreadsheets/d/1XL5vhW3sbDhbH9Cz0tuDiY8C3ctxq1tqvaCgkFb8cCA/edit?usp=sharing"",""ร้อยเอ็ด!J366"")"),1277)</f>
        <v>1277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IFERROR(__xludf.DUMMYFUNCTION("IMPORTRANGE(""https://docs.google.com/spreadsheets/d/1XL5vhW3sbDhbH9Cz0tuDiY8C3ctxq1tqvaCgkFb8cCA/edit?usp=sharing"",""ร้อยเอ็ด!I367"")"),0)</f>
        <v>0</v>
      </c>
      <c r="J472" s="190">
        <f ca="1">IFERROR(__xludf.DUMMYFUNCTION("IMPORTRANGE(""https://docs.google.com/spreadsheets/d/1XL5vhW3sbDhbH9Cz0tuDiY8C3ctxq1tqvaCgkFb8cCA/edit?usp=sharing"",""ร้อยเอ็ด!J367"")"),121)</f>
        <v>121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IFERROR(__xludf.DUMMYFUNCTION("IMPORTRANGE(""https://docs.google.com/spreadsheets/d/1XL5vhW3sbDhbH9Cz0tuDiY8C3ctxq1tqvaCgkFb8cCA/edit?usp=sharing"",""ร้อยเอ็ด!J368"")"),33366.9)</f>
        <v>33366.9</v>
      </c>
      <c r="K473" s="203">
        <f t="shared" ca="1" si="117"/>
        <v>66.684453504406733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IFERROR(__xludf.DUMMYFUNCTION("IMPORTRANGE(""https://docs.google.com/spreadsheets/d/1XL5vhW3sbDhbH9Cz0tuDiY8C3ctxq1tqvaCgkFb8cCA/edit?usp=sharing"",""ร้อยเอ็ด!J369"")"),3601)</f>
        <v>3601</v>
      </c>
      <c r="K474" s="165">
        <f t="shared" ca="1" si="117"/>
        <v>70.003888024883352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IFERROR(__xludf.DUMMYFUNCTION("IMPORTRANGE(""https://docs.google.com/spreadsheets/d/1XL5vhW3sbDhbH9Cz0tuDiY8C3ctxq1tqvaCgkFb8cCA/edit?usp=sharing"",""ร้อยเอ็ด!I370"")"),0)</f>
        <v>0</v>
      </c>
      <c r="J475" s="190">
        <f ca="1">IFERROR(__xludf.DUMMYFUNCTION("IMPORTRANGE(""https://docs.google.com/spreadsheets/d/1XL5vhW3sbDhbH9Cz0tuDiY8C3ctxq1tqvaCgkFb8cCA/edit?usp=sharing"",""ร้อยเอ็ด!J370"")"),31277.4)</f>
        <v>31277.4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IFERROR(__xludf.DUMMYFUNCTION("IMPORTRANGE(""https://docs.google.com/spreadsheets/d/1XL5vhW3sbDhbH9Cz0tuDiY8C3ctxq1tqvaCgkFb8cCA/edit?usp=sharing"",""ร้อยเอ็ด!I371"")"),0)</f>
        <v>0</v>
      </c>
      <c r="J476" s="190">
        <f ca="1">IFERROR(__xludf.DUMMYFUNCTION("IMPORTRANGE(""https://docs.google.com/spreadsheets/d/1XL5vhW3sbDhbH9Cz0tuDiY8C3ctxq1tqvaCgkFb8cCA/edit?usp=sharing"",""ร้อยเอ็ด!J371"")"),3396)</f>
        <v>3396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IFERROR(__xludf.DUMMYFUNCTION("IMPORTRANGE(""https://docs.google.com/spreadsheets/d/1XL5vhW3sbDhbH9Cz0tuDiY8C3ctxq1tqvaCgkFb8cCA/edit?usp=sharing"",""ร้อยเอ็ด!I372"")"),0)</f>
        <v>0</v>
      </c>
      <c r="J477" s="190">
        <f ca="1">IFERROR(__xludf.DUMMYFUNCTION("IMPORTRANGE(""https://docs.google.com/spreadsheets/d/1XL5vhW3sbDhbH9Cz0tuDiY8C3ctxq1tqvaCgkFb8cCA/edit?usp=sharing"",""ร้อยเอ็ด!J372"")"),1195.6)</f>
        <v>1195.5999999999999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IFERROR(__xludf.DUMMYFUNCTION("IMPORTRANGE(""https://docs.google.com/spreadsheets/d/1XL5vhW3sbDhbH9Cz0tuDiY8C3ctxq1tqvaCgkFb8cCA/edit?usp=sharing"",""ร้อยเอ็ด!I373"")"),0)</f>
        <v>0</v>
      </c>
      <c r="J478" s="190">
        <f ca="1">IFERROR(__xludf.DUMMYFUNCTION("IMPORTRANGE(""https://docs.google.com/spreadsheets/d/1XL5vhW3sbDhbH9Cz0tuDiY8C3ctxq1tqvaCgkFb8cCA/edit?usp=sharing"",""ร้อยเอ็ด!J373"")"),120)</f>
        <v>120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IFERROR(__xludf.DUMMYFUNCTION("IMPORTRANGE(""https://docs.google.com/spreadsheets/d/1XL5vhW3sbDhbH9Cz0tuDiY8C3ctxq1tqvaCgkFb8cCA/edit?usp=sharing"",""ร้อยเอ็ด!I374"")"),0)</f>
        <v>0</v>
      </c>
      <c r="J479" s="190">
        <f ca="1">IFERROR(__xludf.DUMMYFUNCTION("IMPORTRANGE(""https://docs.google.com/spreadsheets/d/1XL5vhW3sbDhbH9Cz0tuDiY8C3ctxq1tqvaCgkFb8cCA/edit?usp=sharing"",""ร้อยเอ็ด!J374"")"),893.9)</f>
        <v>893.9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IFERROR(__xludf.DUMMYFUNCTION("IMPORTRANGE(""https://docs.google.com/spreadsheets/d/1XL5vhW3sbDhbH9Cz0tuDiY8C3ctxq1tqvaCgkFb8cCA/edit?usp=sharing"",""ร้อยเอ็ด!I375"")"),0)</f>
        <v>0</v>
      </c>
      <c r="J480" s="190">
        <f ca="1">IFERROR(__xludf.DUMMYFUNCTION("IMPORTRANGE(""https://docs.google.com/spreadsheets/d/1XL5vhW3sbDhbH9Cz0tuDiY8C3ctxq1tqvaCgkFb8cCA/edit?usp=sharing"",""ร้อยเอ็ด!J375"")"),85)</f>
        <v>85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IFERROR(__xludf.DUMMYFUNCTION("IMPORTRANGE(""https://docs.google.com/spreadsheets/d/1XL5vhW3sbDhbH9Cz0tuDiY8C3ctxq1tqvaCgkFb8cCA/edit?usp=sharing"",""ร้อยเอ็ด!I378"")"),0)</f>
        <v>0</v>
      </c>
      <c r="J483" s="190">
        <f ca="1">IFERROR(__xludf.DUMMYFUNCTION("IMPORTRANGE(""https://docs.google.com/spreadsheets/d/1XL5vhW3sbDhbH9Cz0tuDiY8C3ctxq1tqvaCgkFb8cCA/edit?usp=sharing"",""ร้อยเอ็ด!J378"")"),0)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IFERROR(__xludf.DUMMYFUNCTION("IMPORTRANGE(""https://docs.google.com/spreadsheets/d/1XL5vhW3sbDhbH9Cz0tuDiY8C3ctxq1tqvaCgkFb8cCA/edit?usp=sharing"",""ร้อยเอ็ด!I379"")"),0)</f>
        <v>0</v>
      </c>
      <c r="J484" s="190">
        <f ca="1">IFERROR(__xludf.DUMMYFUNCTION("IMPORTRANGE(""https://docs.google.com/spreadsheets/d/1XL5vhW3sbDhbH9Cz0tuDiY8C3ctxq1tqvaCgkFb8cCA/edit?usp=sharing"",""ร้อยเอ็ด!J379"")"),0)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IFERROR(__xludf.DUMMYFUNCTION("IMPORTRANGE(""https://docs.google.com/spreadsheets/d/1XL5vhW3sbDhbH9Cz0tuDiY8C3ctxq1tqvaCgkFb8cCA/edit?usp=sharing"",""ร้อยเอ็ด!I380"")"),0)</f>
        <v>0</v>
      </c>
      <c r="J485" s="190">
        <f ca="1">IFERROR(__xludf.DUMMYFUNCTION("IMPORTRANGE(""https://docs.google.com/spreadsheets/d/1XL5vhW3sbDhbH9Cz0tuDiY8C3ctxq1tqvaCgkFb8cCA/edit?usp=sharing"",""ร้อยเอ็ด!J380"")"),0)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IFERROR(__xludf.DUMMYFUNCTION("IMPORTRANGE(""https://docs.google.com/spreadsheets/d/1XL5vhW3sbDhbH9Cz0tuDiY8C3ctxq1tqvaCgkFb8cCA/edit?usp=sharing"",""ร้อยเอ็ด!I381"")"),0)</f>
        <v>0</v>
      </c>
      <c r="J486" s="190">
        <f ca="1">IFERROR(__xludf.DUMMYFUNCTION("IMPORTRANGE(""https://docs.google.com/spreadsheets/d/1XL5vhW3sbDhbH9Cz0tuDiY8C3ctxq1tqvaCgkFb8cCA/edit?usp=sharing"",""ร้อยเอ็ด!J381"")"),0)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IFERROR(__xludf.DUMMYFUNCTION("IMPORTRANGE(""https://docs.google.com/spreadsheets/d/1XL5vhW3sbDhbH9Cz0tuDiY8C3ctxq1tqvaCgkFb8cCA/edit?usp=sharing"",""ร้อยเอ็ด!I384"")"),0)</f>
        <v>0</v>
      </c>
      <c r="J489" s="190">
        <f ca="1">IFERROR(__xludf.DUMMYFUNCTION("IMPORTRANGE(""https://docs.google.com/spreadsheets/d/1XL5vhW3sbDhbH9Cz0tuDiY8C3ctxq1tqvaCgkFb8cCA/edit?usp=sharing"",""ร้อยเอ็ด!J384"")"),0)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IFERROR(__xludf.DUMMYFUNCTION("IMPORTRANGE(""https://docs.google.com/spreadsheets/d/1XL5vhW3sbDhbH9Cz0tuDiY8C3ctxq1tqvaCgkFb8cCA/edit?usp=sharing"",""ร้อยเอ็ด!I385"")"),0)</f>
        <v>0</v>
      </c>
      <c r="J490" s="190">
        <f ca="1">IFERROR(__xludf.DUMMYFUNCTION("IMPORTRANGE(""https://docs.google.com/spreadsheets/d/1XL5vhW3sbDhbH9Cz0tuDiY8C3ctxq1tqvaCgkFb8cCA/edit?usp=sharing"",""ร้อยเอ็ด!J385"")"),0)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IFERROR(__xludf.DUMMYFUNCTION("IMPORTRANGE(""https://docs.google.com/spreadsheets/d/1XL5vhW3sbDhbH9Cz0tuDiY8C3ctxq1tqvaCgkFb8cCA/edit?usp=sharing"",""ร้อยเอ็ด!I386"")"),0)</f>
        <v>0</v>
      </c>
      <c r="J491" s="190">
        <f ca="1">IFERROR(__xludf.DUMMYFUNCTION("IMPORTRANGE(""https://docs.google.com/spreadsheets/d/1XL5vhW3sbDhbH9Cz0tuDiY8C3ctxq1tqvaCgkFb8cCA/edit?usp=sharing"",""ร้อยเอ็ด!J386"")"),0)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IFERROR(__xludf.DUMMYFUNCTION("IMPORTRANGE(""https://docs.google.com/spreadsheets/d/1XL5vhW3sbDhbH9Cz0tuDiY8C3ctxq1tqvaCgkFb8cCA/edit?usp=sharing"",""ร้อยเอ็ด!I387"")"),0)</f>
        <v>0</v>
      </c>
      <c r="J492" s="190">
        <f ca="1">IFERROR(__xludf.DUMMYFUNCTION("IMPORTRANGE(""https://docs.google.com/spreadsheets/d/1XL5vhW3sbDhbH9Cz0tuDiY8C3ctxq1tqvaCgkFb8cCA/edit?usp=sharing"",""ร้อยเอ็ด!J387"")"),0)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IFERROR(__xludf.DUMMYFUNCTION("IMPORTRANGE(""https://docs.google.com/spreadsheets/d/1XL5vhW3sbDhbH9Cz0tuDiY8C3ctxq1tqvaCgkFb8cCA/edit?usp=sharing"",""ร้อยเอ็ด!I388"")"),0)</f>
        <v>0</v>
      </c>
      <c r="J493" s="190">
        <f ca="1">IFERROR(__xludf.DUMMYFUNCTION("IMPORTRANGE(""https://docs.google.com/spreadsheets/d/1XL5vhW3sbDhbH9Cz0tuDiY8C3ctxq1tqvaCgkFb8cCA/edit?usp=sharing"",""ร้อยเอ็ด!J388"")"),0)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IFERROR(__xludf.DUMMYFUNCTION("IMPORTRANGE(""https://docs.google.com/spreadsheets/d/1XL5vhW3sbDhbH9Cz0tuDiY8C3ctxq1tqvaCgkFb8cCA/edit?usp=sharing"",""ร้อยเอ็ด!J392"")"),207)</f>
        <v>207</v>
      </c>
      <c r="K497" s="444">
        <f t="shared" ca="1" si="117"/>
        <v>36.188811188811187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IFERROR(__xludf.DUMMYFUNCTION("IMPORTRANGE(""https://docs.google.com/spreadsheets/d/1XL5vhW3sbDhbH9Cz0tuDiY8C3ctxq1tqvaCgkFb8cCA/edit?usp=sharing"",""ร้อยเอ็ด!J393"")"),207)</f>
        <v>207</v>
      </c>
      <c r="K498" s="165">
        <f t="shared" ca="1" si="117"/>
        <v>36.188811188811187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IFERROR(__xludf.DUMMYFUNCTION("IMPORTRANGE(""https://docs.google.com/spreadsheets/d/1XL5vhW3sbDhbH9Cz0tuDiY8C3ctxq1tqvaCgkFb8cCA/edit?usp=sharing"",""ร้อยเอ็ด!J394"")"),20)</f>
        <v>20</v>
      </c>
      <c r="K499" s="203">
        <f t="shared" ca="1" si="117"/>
        <v>33.333333333333336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IFERROR(__xludf.DUMMYFUNCTION("IMPORTRANGE(""https://docs.google.com/spreadsheets/d/1XL5vhW3sbDhbH9Cz0tuDiY8C3ctxq1tqvaCgkFb8cCA/edit?usp=sharing"",""ร้อยเอ็ด!I395"")"),0)</f>
        <v>0</v>
      </c>
      <c r="J500" s="164">
        <f ca="1">IFERROR(__xludf.DUMMYFUNCTION("IMPORTRANGE(""https://docs.google.com/spreadsheets/d/1XL5vhW3sbDhbH9Cz0tuDiY8C3ctxq1tqvaCgkFb8cCA/edit?usp=sharing"",""ร้อยเอ็ด!J395"")"),207)</f>
        <v>207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IFERROR(__xludf.DUMMYFUNCTION("IMPORTRANGE(""https://docs.google.com/spreadsheets/d/1XL5vhW3sbDhbH9Cz0tuDiY8C3ctxq1tqvaCgkFb8cCA/edit?usp=sharing"",""ร้อยเอ็ด!I396"")"),0)</f>
        <v>0</v>
      </c>
      <c r="J501" s="164">
        <f ca="1">IFERROR(__xludf.DUMMYFUNCTION("IMPORTRANGE(""https://docs.google.com/spreadsheets/d/1XL5vhW3sbDhbH9Cz0tuDiY8C3ctxq1tqvaCgkFb8cCA/edit?usp=sharing"",""ร้อยเอ็ด!J396"")"),20)</f>
        <v>20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IFERROR(__xludf.DUMMYFUNCTION("IMPORTRANGE(""https://docs.google.com/spreadsheets/d/1XL5vhW3sbDhbH9Cz0tuDiY8C3ctxq1tqvaCgkFb8cCA/edit?usp=sharing"",""ร้อยเอ็ด!I397"")"),0)</f>
        <v>0</v>
      </c>
      <c r="J502" s="190">
        <f ca="1">IFERROR(__xludf.DUMMYFUNCTION("IMPORTRANGE(""https://docs.google.com/spreadsheets/d/1XL5vhW3sbDhbH9Cz0tuDiY8C3ctxq1tqvaCgkFb8cCA/edit?usp=sharing"",""ร้อยเอ็ด!J397"")"),207)</f>
        <v>207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IFERROR(__xludf.DUMMYFUNCTION("IMPORTRANGE(""https://docs.google.com/spreadsheets/d/1XL5vhW3sbDhbH9Cz0tuDiY8C3ctxq1tqvaCgkFb8cCA/edit?usp=sharing"",""ร้อยเอ็ด!I398"")"),0)</f>
        <v>0</v>
      </c>
      <c r="J503" s="199">
        <f ca="1">IFERROR(__xludf.DUMMYFUNCTION("IMPORTRANGE(""https://docs.google.com/spreadsheets/d/1XL5vhW3sbDhbH9Cz0tuDiY8C3ctxq1tqvaCgkFb8cCA/edit?usp=sharing"",""ร้อยเอ็ด!J398"")"),20)</f>
        <v>20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IFERROR(__xludf.DUMMYFUNCTION("IMPORTRANGE(""https://docs.google.com/spreadsheets/d/1XL5vhW3sbDhbH9Cz0tuDiY8C3ctxq1tqvaCgkFb8cCA/edit?usp=sharing"",""ร้อยเอ็ด!I399"")"),0)</f>
        <v>0</v>
      </c>
      <c r="J504" s="190">
        <f ca="1">IFERROR(__xludf.DUMMYFUNCTION("IMPORTRANGE(""https://docs.google.com/spreadsheets/d/1XL5vhW3sbDhbH9Cz0tuDiY8C3ctxq1tqvaCgkFb8cCA/edit?usp=sharing"",""ร้อยเอ็ด!J399"")"),0)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IFERROR(__xludf.DUMMYFUNCTION("IMPORTRANGE(""https://docs.google.com/spreadsheets/d/1XL5vhW3sbDhbH9Cz0tuDiY8C3ctxq1tqvaCgkFb8cCA/edit?usp=sharing"",""ร้อยเอ็ด!I400"")"),0)</f>
        <v>0</v>
      </c>
      <c r="J505" s="199">
        <f ca="1">IFERROR(__xludf.DUMMYFUNCTION("IMPORTRANGE(""https://docs.google.com/spreadsheets/d/1XL5vhW3sbDhbH9Cz0tuDiY8C3ctxq1tqvaCgkFb8cCA/edit?usp=sharing"",""ร้อยเอ็ด!J400"")"),0)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IFERROR(__xludf.DUMMYFUNCTION("IMPORTRANGE(""https://docs.google.com/spreadsheets/d/1XL5vhW3sbDhbH9Cz0tuDiY8C3ctxq1tqvaCgkFb8cCA/edit?usp=sharing"",""ร้อยเอ็ด!I401"")"),0)</f>
        <v>0</v>
      </c>
      <c r="J506" s="190">
        <f ca="1">IFERROR(__xludf.DUMMYFUNCTION("IMPORTRANGE(""https://docs.google.com/spreadsheets/d/1XL5vhW3sbDhbH9Cz0tuDiY8C3ctxq1tqvaCgkFb8cCA/edit?usp=sharing"",""ร้อยเอ็ด!J401"")"),0)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IFERROR(__xludf.DUMMYFUNCTION("IMPORTRANGE(""https://docs.google.com/spreadsheets/d/1XL5vhW3sbDhbH9Cz0tuDiY8C3ctxq1tqvaCgkFb8cCA/edit?usp=sharing"",""ร้อยเอ็ด!I402"")"),0)</f>
        <v>0</v>
      </c>
      <c r="J507" s="199">
        <f ca="1">IFERROR(__xludf.DUMMYFUNCTION("IMPORTRANGE(""https://docs.google.com/spreadsheets/d/1XL5vhW3sbDhbH9Cz0tuDiY8C3ctxq1tqvaCgkFb8cCA/edit?usp=sharing"",""ร้อยเอ็ด!J402"")"),0)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IFERROR(__xludf.DUMMYFUNCTION("IMPORTRANGE(""https://docs.google.com/spreadsheets/d/1XL5vhW3sbDhbH9Cz0tuDiY8C3ctxq1tqvaCgkFb8cCA/edit?usp=sharing"",""ร้อยเอ็ด!I403"")"),0)</f>
        <v>0</v>
      </c>
      <c r="J508" s="164">
        <f ca="1">IFERROR(__xludf.DUMMYFUNCTION("IMPORTRANGE(""https://docs.google.com/spreadsheets/d/1XL5vhW3sbDhbH9Cz0tuDiY8C3ctxq1tqvaCgkFb8cCA/edit?usp=sharing"",""ร้อยเอ็ด!J403"")"),0)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IFERROR(__xludf.DUMMYFUNCTION("IMPORTRANGE(""https://docs.google.com/spreadsheets/d/1XL5vhW3sbDhbH9Cz0tuDiY8C3ctxq1tqvaCgkFb8cCA/edit?usp=sharing"",""ร้อยเอ็ด!I404"")"),0)</f>
        <v>0</v>
      </c>
      <c r="J509" s="164">
        <f ca="1">IFERROR(__xludf.DUMMYFUNCTION("IMPORTRANGE(""https://docs.google.com/spreadsheets/d/1XL5vhW3sbDhbH9Cz0tuDiY8C3ctxq1tqvaCgkFb8cCA/edit?usp=sharing"",""ร้อยเอ็ด!J404"")"),0)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IFERROR(__xludf.DUMMYFUNCTION("IMPORTRANGE(""https://docs.google.com/spreadsheets/d/1XL5vhW3sbDhbH9Cz0tuDiY8C3ctxq1tqvaCgkFb8cCA/edit?usp=sharing"",""ร้อยเอ็ด!I405"")"),0)</f>
        <v>0</v>
      </c>
      <c r="J510" s="199">
        <f ca="1">IFERROR(__xludf.DUMMYFUNCTION("IMPORTRANGE(""https://docs.google.com/spreadsheets/d/1XL5vhW3sbDhbH9Cz0tuDiY8C3ctxq1tqvaCgkFb8cCA/edit?usp=sharing"",""ร้อยเอ็ด!J405"")"),0)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IFERROR(__xludf.DUMMYFUNCTION("IMPORTRANGE(""https://docs.google.com/spreadsheets/d/1XL5vhW3sbDhbH9Cz0tuDiY8C3ctxq1tqvaCgkFb8cCA/edit?usp=sharing"",""ร้อยเอ็ด!I406"")"),0)</f>
        <v>0</v>
      </c>
      <c r="J511" s="199">
        <f ca="1">IFERROR(__xludf.DUMMYFUNCTION("IMPORTRANGE(""https://docs.google.com/spreadsheets/d/1XL5vhW3sbDhbH9Cz0tuDiY8C3ctxq1tqvaCgkFb8cCA/edit?usp=sharing"",""ร้อยเอ็ด!J406"")"),0)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IFERROR(__xludf.DUMMYFUNCTION("IMPORTRANGE(""https://docs.google.com/spreadsheets/d/1XL5vhW3sbDhbH9Cz0tuDiY8C3ctxq1tqvaCgkFb8cCA/edit?usp=sharing"",""ร้อยเอ็ด!I407"")"),0)</f>
        <v>0</v>
      </c>
      <c r="J512" s="199">
        <f ca="1">IFERROR(__xludf.DUMMYFUNCTION("IMPORTRANGE(""https://docs.google.com/spreadsheets/d/1XL5vhW3sbDhbH9Cz0tuDiY8C3ctxq1tqvaCgkFb8cCA/edit?usp=sharing"",""ร้อยเอ็ด!J407"")"),0)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IFERROR(__xludf.DUMMYFUNCTION("IMPORTRANGE(""https://docs.google.com/spreadsheets/d/1XL5vhW3sbDhbH9Cz0tuDiY8C3ctxq1tqvaCgkFb8cCA/edit?usp=sharing"",""ร้อยเอ็ด!I408"")"),0)</f>
        <v>0</v>
      </c>
      <c r="J513" s="199">
        <f ca="1">IFERROR(__xludf.DUMMYFUNCTION("IMPORTRANGE(""https://docs.google.com/spreadsheets/d/1XL5vhW3sbDhbH9Cz0tuDiY8C3ctxq1tqvaCgkFb8cCA/edit?usp=sharing"",""ร้อยเอ็ด!J408"")"),0)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IFERROR(__xludf.DUMMYFUNCTION("IMPORTRANGE(""https://docs.google.com/spreadsheets/d/1XL5vhW3sbDhbH9Cz0tuDiY8C3ctxq1tqvaCgkFb8cCA/edit?usp=sharing"",""ร้อยเอ็ด!I409"")"),0)</f>
        <v>0</v>
      </c>
      <c r="J514" s="199">
        <f ca="1">IFERROR(__xludf.DUMMYFUNCTION("IMPORTRANGE(""https://docs.google.com/spreadsheets/d/1XL5vhW3sbDhbH9Cz0tuDiY8C3ctxq1tqvaCgkFb8cCA/edit?usp=sharing"",""ร้อยเอ็ด!J409"")"),0)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IFERROR(__xludf.DUMMYFUNCTION("IMPORTRANGE(""https://docs.google.com/spreadsheets/d/1XL5vhW3sbDhbH9Cz0tuDiY8C3ctxq1tqvaCgkFb8cCA/edit?usp=sharing"",""ร้อยเอ็ด!I410"")"),0)</f>
        <v>0</v>
      </c>
      <c r="J515" s="199">
        <f ca="1">IFERROR(__xludf.DUMMYFUNCTION("IMPORTRANGE(""https://docs.google.com/spreadsheets/d/1XL5vhW3sbDhbH9Cz0tuDiY8C3ctxq1tqvaCgkFb8cCA/edit?usp=sharing"",""ร้อยเอ็ด!J410"")"),0)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IFERROR(__xludf.DUMMYFUNCTION("IMPORTRANGE(""https://docs.google.com/spreadsheets/d/1XL5vhW3sbDhbH9Cz0tuDiY8C3ctxq1tqvaCgkFb8cCA/edit?usp=sharing"",""ร้อยเอ็ด!I412"")"),0)</f>
        <v>0</v>
      </c>
      <c r="J517" s="284">
        <f ca="1">IFERROR(__xludf.DUMMYFUNCTION("IMPORTRANGE(""https://docs.google.com/spreadsheets/d/1XL5vhW3sbDhbH9Cz0tuDiY8C3ctxq1tqvaCgkFb8cCA/edit?usp=sharing"",""ร้อยเอ็ด!J412"")"),0)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IFERROR(__xludf.DUMMYFUNCTION("IMPORTRANGE(""https://docs.google.com/spreadsheets/d/1XL5vhW3sbDhbH9Cz0tuDiY8C3ctxq1tqvaCgkFb8cCA/edit?usp=sharing"",""ร้อยเอ็ด!I413"")"),0)</f>
        <v>0</v>
      </c>
      <c r="J518" s="284">
        <f ca="1">IFERROR(__xludf.DUMMYFUNCTION("IMPORTRANGE(""https://docs.google.com/spreadsheets/d/1XL5vhW3sbDhbH9Cz0tuDiY8C3ctxq1tqvaCgkFb8cCA/edit?usp=sharing"",""ร้อยเอ็ด!J413"")"),0)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IFERROR(__xludf.DUMMYFUNCTION("IMPORTRANGE(""https://docs.google.com/spreadsheets/d/1XL5vhW3sbDhbH9Cz0tuDiY8C3ctxq1tqvaCgkFb8cCA/edit?usp=sharing"",""ร้อยเอ็ด!I414"")"),0)</f>
        <v>0</v>
      </c>
      <c r="J519" s="189">
        <f ca="1">IFERROR(__xludf.DUMMYFUNCTION("IMPORTRANGE(""https://docs.google.com/spreadsheets/d/1XL5vhW3sbDhbH9Cz0tuDiY8C3ctxq1tqvaCgkFb8cCA/edit?usp=sharing"",""ร้อยเอ็ด!J414"")"),0)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IFERROR(__xludf.DUMMYFUNCTION("IMPORTRANGE(""https://docs.google.com/spreadsheets/d/1XL5vhW3sbDhbH9Cz0tuDiY8C3ctxq1tqvaCgkFb8cCA/edit?usp=sharing"",""ร้อยเอ็ด!I415"")"),0)</f>
        <v>0</v>
      </c>
      <c r="J520" s="189">
        <f ca="1">IFERROR(__xludf.DUMMYFUNCTION("IMPORTRANGE(""https://docs.google.com/spreadsheets/d/1XL5vhW3sbDhbH9Cz0tuDiY8C3ctxq1tqvaCgkFb8cCA/edit?usp=sharing"",""ร้อยเอ็ด!J415"")"),0)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IFERROR(__xludf.DUMMYFUNCTION("IMPORTRANGE(""https://docs.google.com/spreadsheets/d/1XL5vhW3sbDhbH9Cz0tuDiY8C3ctxq1tqvaCgkFb8cCA/edit?usp=sharing"",""ร้อยเอ็ด!I416"")"),0)</f>
        <v>0</v>
      </c>
      <c r="J521" s="189">
        <f ca="1">IFERROR(__xludf.DUMMYFUNCTION("IMPORTRANGE(""https://docs.google.com/spreadsheets/d/1XL5vhW3sbDhbH9Cz0tuDiY8C3ctxq1tqvaCgkFb8cCA/edit?usp=sharing"",""ร้อยเอ็ด!J416"")"),0)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IFERROR(__xludf.DUMMYFUNCTION("IMPORTRANGE(""https://docs.google.com/spreadsheets/d/1XL5vhW3sbDhbH9Cz0tuDiY8C3ctxq1tqvaCgkFb8cCA/edit?usp=sharing"",""ร้อยเอ็ด!I417"")"),0)</f>
        <v>0</v>
      </c>
      <c r="J522" s="189">
        <f ca="1">IFERROR(__xludf.DUMMYFUNCTION("IMPORTRANGE(""https://docs.google.com/spreadsheets/d/1XL5vhW3sbDhbH9Cz0tuDiY8C3ctxq1tqvaCgkFb8cCA/edit?usp=sharing"",""ร้อยเอ็ด!J417"")"),0)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IFERROR(__xludf.DUMMYFUNCTION("IMPORTRANGE(""https://docs.google.com/spreadsheets/d/1XL5vhW3sbDhbH9Cz0tuDiY8C3ctxq1tqvaCgkFb8cCA/edit?usp=sharing"",""ร้อยเอ็ด!I418"")"),0)</f>
        <v>0</v>
      </c>
      <c r="J523" s="189">
        <f ca="1">IFERROR(__xludf.DUMMYFUNCTION("IMPORTRANGE(""https://docs.google.com/spreadsheets/d/1XL5vhW3sbDhbH9Cz0tuDiY8C3ctxq1tqvaCgkFb8cCA/edit?usp=sharing"",""ร้อยเอ็ด!J418"")"),0)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IFERROR(__xludf.DUMMYFUNCTION("IMPORTRANGE(""https://docs.google.com/spreadsheets/d/1XL5vhW3sbDhbH9Cz0tuDiY8C3ctxq1tqvaCgkFb8cCA/edit?usp=sharing"",""ร้อยเอ็ด!I419"")"),0)</f>
        <v>0</v>
      </c>
      <c r="J524" s="189">
        <f ca="1">IFERROR(__xludf.DUMMYFUNCTION("IMPORTRANGE(""https://docs.google.com/spreadsheets/d/1XL5vhW3sbDhbH9Cz0tuDiY8C3ctxq1tqvaCgkFb8cCA/edit?usp=sharing"",""ร้อยเอ็ด!J419"")"),0)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IFERROR(__xludf.DUMMYFUNCTION("IMPORTRANGE(""https://docs.google.com/spreadsheets/d/1XL5vhW3sbDhbH9Cz0tuDiY8C3ctxq1tqvaCgkFb8cCA/edit?usp=sharing"",""ร้อยเอ็ด!I420"")"),0)</f>
        <v>0</v>
      </c>
      <c r="J525" s="284">
        <f ca="1">IFERROR(__xludf.DUMMYFUNCTION("IMPORTRANGE(""https://docs.google.com/spreadsheets/d/1XL5vhW3sbDhbH9Cz0tuDiY8C3ctxq1tqvaCgkFb8cCA/edit?usp=sharing"",""ร้อยเอ็ด!J420"")"),0)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IFERROR(__xludf.DUMMYFUNCTION("IMPORTRANGE(""https://docs.google.com/spreadsheets/d/1XL5vhW3sbDhbH9Cz0tuDiY8C3ctxq1tqvaCgkFb8cCA/edit?usp=sharing"",""ร้อยเอ็ด!I421"")"),0)</f>
        <v>0</v>
      </c>
      <c r="J526" s="284">
        <f ca="1">IFERROR(__xludf.DUMMYFUNCTION("IMPORTRANGE(""https://docs.google.com/spreadsheets/d/1XL5vhW3sbDhbH9Cz0tuDiY8C3ctxq1tqvaCgkFb8cCA/edit?usp=sharing"",""ร้อยเอ็ด!J421"")"),0)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IFERROR(__xludf.DUMMYFUNCTION("IMPORTRANGE(""https://docs.google.com/spreadsheets/d/1XL5vhW3sbDhbH9Cz0tuDiY8C3ctxq1tqvaCgkFb8cCA/edit?usp=sharing"",""ร้อยเอ็ด!I422"")"),0)</f>
        <v>0</v>
      </c>
      <c r="J527" s="199">
        <f ca="1">IFERROR(__xludf.DUMMYFUNCTION("IMPORTRANGE(""https://docs.google.com/spreadsheets/d/1XL5vhW3sbDhbH9Cz0tuDiY8C3ctxq1tqvaCgkFb8cCA/edit?usp=sharing"",""ร้อยเอ็ด!J422"")"),0)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IFERROR(__xludf.DUMMYFUNCTION("IMPORTRANGE(""https://docs.google.com/spreadsheets/d/1XL5vhW3sbDhbH9Cz0tuDiY8C3ctxq1tqvaCgkFb8cCA/edit?usp=sharing"",""ร้อยเอ็ด!I423"")"),0)</f>
        <v>0</v>
      </c>
      <c r="J528" s="199">
        <f ca="1">IFERROR(__xludf.DUMMYFUNCTION("IMPORTRANGE(""https://docs.google.com/spreadsheets/d/1XL5vhW3sbDhbH9Cz0tuDiY8C3ctxq1tqvaCgkFb8cCA/edit?usp=sharing"",""ร้อยเอ็ด!J423"")"),0)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IFERROR(__xludf.DUMMYFUNCTION("IMPORTRANGE(""https://docs.google.com/spreadsheets/d/1XL5vhW3sbDhbH9Cz0tuDiY8C3ctxq1tqvaCgkFb8cCA/edit?usp=sharing"",""ร้อยเอ็ด!I424"")"),0)</f>
        <v>0</v>
      </c>
      <c r="J529" s="199">
        <f ca="1">IFERROR(__xludf.DUMMYFUNCTION("IMPORTRANGE(""https://docs.google.com/spreadsheets/d/1XL5vhW3sbDhbH9Cz0tuDiY8C3ctxq1tqvaCgkFb8cCA/edit?usp=sharing"",""ร้อยเอ็ด!J424"")"),0)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IFERROR(__xludf.DUMMYFUNCTION("IMPORTRANGE(""https://docs.google.com/spreadsheets/d/1XL5vhW3sbDhbH9Cz0tuDiY8C3ctxq1tqvaCgkFb8cCA/edit?usp=sharing"",""ร้อยเอ็ด!I425"")"),0)</f>
        <v>0</v>
      </c>
      <c r="J530" s="199">
        <f ca="1">IFERROR(__xludf.DUMMYFUNCTION("IMPORTRANGE(""https://docs.google.com/spreadsheets/d/1XL5vhW3sbDhbH9Cz0tuDiY8C3ctxq1tqvaCgkFb8cCA/edit?usp=sharing"",""ร้อยเอ็ด!J425"")"),0)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IFERROR(__xludf.DUMMYFUNCTION("IMPORTRANGE(""https://docs.google.com/spreadsheets/d/1XL5vhW3sbDhbH9Cz0tuDiY8C3ctxq1tqvaCgkFb8cCA/edit?usp=sharing"",""ร้อยเอ็ด!I426"")"),0)</f>
        <v>0</v>
      </c>
      <c r="J531" s="199">
        <f ca="1">IFERROR(__xludf.DUMMYFUNCTION("IMPORTRANGE(""https://docs.google.com/spreadsheets/d/1XL5vhW3sbDhbH9Cz0tuDiY8C3ctxq1tqvaCgkFb8cCA/edit?usp=sharing"",""ร้อยเอ็ด!J426"")"),0)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IFERROR(__xludf.DUMMYFUNCTION("IMPORTRANGE(""https://docs.google.com/spreadsheets/d/1XL5vhW3sbDhbH9Cz0tuDiY8C3ctxq1tqvaCgkFb8cCA/edit?usp=sharing"",""ร้อยเอ็ด!M428"")"),20580)</f>
        <v>20580</v>
      </c>
      <c r="O533" s="412">
        <f t="shared" ref="O533:O537" ca="1" si="118">+IF(L533&gt;0,N533*100/L533,0)</f>
        <v>59.930110658124633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IFERROR(__xludf.DUMMYFUNCTION("IMPORTRANGE(""https://docs.google.com/spreadsheets/d/1XL5vhW3sbDhbH9Cz0tuDiY8C3ctxq1tqvaCgkFb8cCA/edit?usp=sharing"",""ร้อยเอ็ด!L429"")"),0)</f>
        <v>0</v>
      </c>
      <c r="M534" s="166"/>
      <c r="N534" s="170">
        <f ca="1">IFERROR(__xludf.DUMMYFUNCTION("IMPORTRANGE(""https://docs.google.com/spreadsheets/d/1XL5vhW3sbDhbH9Cz0tuDiY8C3ctxq1tqvaCgkFb8cCA/edit?usp=sharing"",""ร้อยเอ็ด!M429"")"),0)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IFERROR(__xludf.DUMMYFUNCTION("IMPORTRANGE(""https://docs.google.com/spreadsheets/d/1XL5vhW3sbDhbH9Cz0tuDiY8C3ctxq1tqvaCgkFb8cCA/edit?usp=sharing"",""ร้อยเอ็ด!L430"")"),34340)</f>
        <v>34340</v>
      </c>
      <c r="M535" s="167"/>
      <c r="N535" s="170">
        <f ca="1">IFERROR(__xludf.DUMMYFUNCTION("IMPORTRANGE(""https://docs.google.com/spreadsheets/d/1XL5vhW3sbDhbH9Cz0tuDiY8C3ctxq1tqvaCgkFb8cCA/edit?usp=sharing"",""ร้อยเอ็ด!M430"")"),20580)</f>
        <v>20580</v>
      </c>
      <c r="O535" s="170">
        <f t="shared" ca="1" si="118"/>
        <v>59.930110658124633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IFERROR(__xludf.DUMMYFUNCTION("IMPORTRANGE(""https://docs.google.com/spreadsheets/d/1XL5vhW3sbDhbH9Cz0tuDiY8C3ctxq1tqvaCgkFb8cCA/edit?usp=sharing"",""ร้อยเอ็ด!L431"")"),0)</f>
        <v>0</v>
      </c>
      <c r="M536" s="170"/>
      <c r="N536" s="170">
        <f ca="1">IFERROR(__xludf.DUMMYFUNCTION("IMPORTRANGE(""https://docs.google.com/spreadsheets/d/1XL5vhW3sbDhbH9Cz0tuDiY8C3ctxq1tqvaCgkFb8cCA/edit?usp=sharing"",""ร้อยเอ็ด!M431"")"),0)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IFERROR(__xludf.DUMMYFUNCTION("IMPORTRANGE(""https://docs.google.com/spreadsheets/d/1XL5vhW3sbDhbH9Cz0tuDiY8C3ctxq1tqvaCgkFb8cCA/edit?usp=sharing"",""ร้อยเอ็ด!L432"")"),34340)</f>
        <v>34340</v>
      </c>
      <c r="M537" s="170"/>
      <c r="N537" s="170">
        <f ca="1">IFERROR(__xludf.DUMMYFUNCTION("IMPORTRANGE(""https://docs.google.com/spreadsheets/d/1XL5vhW3sbDhbH9Cz0tuDiY8C3ctxq1tqvaCgkFb8cCA/edit?usp=sharing"",""ร้อยเอ็ด!M432"")"),20580)</f>
        <v>20580</v>
      </c>
      <c r="O537" s="170">
        <f t="shared" ca="1" si="118"/>
        <v>59.930110658124633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IFERROR(__xludf.DUMMYFUNCTION("IMPORTRANGE(""https://docs.google.com/spreadsheets/d/1XL5vhW3sbDhbH9Cz0tuDiY8C3ctxq1tqvaCgkFb8cCA/edit?usp=sharing"",""ร้อยเอ็ด!M433"")"),19110)</f>
        <v>19110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IFERROR(__xludf.DUMMYFUNCTION("IMPORTRANGE(""https://docs.google.com/spreadsheets/d/1XL5vhW3sbDhbH9Cz0tuDiY8C3ctxq1tqvaCgkFb8cCA/edit?usp=sharing"",""ร้อยเอ็ด!M436"")"),1470)</f>
        <v>1470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IFERROR(__xludf.DUMMYFUNCTION("IMPORTRANGE(""https://docs.google.com/spreadsheets/d/1XL5vhW3sbDhbH9Cz0tuDiY8C3ctxq1tqvaCgkFb8cCA/edit?usp=sharing"",""ร้อยเอ็ด!J438"")"),0)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IFERROR(__xludf.DUMMYFUNCTION("IMPORTRANGE(""https://docs.google.com/spreadsheets/d/1XL5vhW3sbDhbH9Cz0tuDiY8C3ctxq1tqvaCgkFb8cCA/edit?usp=sharing"",""ร้อยเอ็ด!J439"")"),1)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IFERROR(__xludf.DUMMYFUNCTION("IMPORTRANGE(""https://docs.google.com/spreadsheets/d/1XL5vhW3sbDhbH9Cz0tuDiY8C3ctxq1tqvaCgkFb8cCA/edit?usp=sharing"",""ร้อยเอ็ด!J440"")"),1)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IFERROR(__xludf.DUMMYFUNCTION("IMPORTRANGE(""https://docs.google.com/spreadsheets/d/1XL5vhW3sbDhbH9Cz0tuDiY8C3ctxq1tqvaCgkFb8cCA/edit?usp=sharing"",""ร้อยเอ็ด!J441"")"),1)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IFERROR(__xludf.DUMMYFUNCTION("IMPORTRANGE(""https://docs.google.com/spreadsheets/d/1XL5vhW3sbDhbH9Cz0tuDiY8C3ctxq1tqvaCgkFb8cCA/edit?usp=sharing"",""ร้อยเอ็ด!I442"")"),22)</f>
        <v>22</v>
      </c>
      <c r="J547" s="190">
        <f ca="1">IFERROR(__xludf.DUMMYFUNCTION("IMPORTRANGE(""https://docs.google.com/spreadsheets/d/1XL5vhW3sbDhbH9Cz0tuDiY8C3ctxq1tqvaCgkFb8cCA/edit?usp=sharing"",""ร้อยเอ็ด!J442"")"),22)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IFERROR(__xludf.DUMMYFUNCTION("IMPORTRANGE(""https://docs.google.com/spreadsheets/d/1XL5vhW3sbDhbH9Cz0tuDiY8C3ctxq1tqvaCgkFb8cCA/edit?usp=sharing"",""ร้อยเอ็ด!J166"")"),0)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IFERROR(__xludf.DUMMYFUNCTION("IMPORTRANGE(""https://docs.google.com/spreadsheets/d/1XL5vhW3sbDhbH9Cz0tuDiY8C3ctxq1tqvaCgkFb8cCA/edit?usp=sharing"",""ร้อยเอ็ด!J444"")"),0)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IFERROR(__xludf.DUMMYFUNCTION("IMPORTRANGE(""https://docs.google.com/spreadsheets/d/1XL5vhW3sbDhbH9Cz0tuDiY8C3ctxq1tqvaCgkFb8cCA/edit?usp=sharing"",""ร้อยเอ็ด!L447"")"),0)</f>
        <v>0</v>
      </c>
      <c r="M552" s="166"/>
      <c r="N552" s="170">
        <f ca="1">IFERROR(__xludf.DUMMYFUNCTION("IMPORTRANGE(""https://docs.google.com/spreadsheets/d/1XL5vhW3sbDhbH9Cz0tuDiY8C3ctxq1tqvaCgkFb8cCA/edit?usp=sharing"",""ร้อยเอ็ด!M447"")"),0)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IFERROR(__xludf.DUMMYFUNCTION("IMPORTRANGE(""https://docs.google.com/spreadsheets/d/1XL5vhW3sbDhbH9Cz0tuDiY8C3ctxq1tqvaCgkFb8cCA/edit?usp=sharing"",""ร้อยเอ็ด!L448"")"),0)</f>
        <v>0</v>
      </c>
      <c r="M553" s="167"/>
      <c r="N553" s="170">
        <f ca="1">IFERROR(__xludf.DUMMYFUNCTION("IMPORTRANGE(""https://docs.google.com/spreadsheets/d/1XL5vhW3sbDhbH9Cz0tuDiY8C3ctxq1tqvaCgkFb8cCA/edit?usp=sharing"",""ร้อยเอ็ด!M448"")"),0)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IFERROR(__xludf.DUMMYFUNCTION("IMPORTRANGE(""https://docs.google.com/spreadsheets/d/1XL5vhW3sbDhbH9Cz0tuDiY8C3ctxq1tqvaCgkFb8cCA/edit?usp=sharing"",""ร้อยเอ็ด!L449"")"),0)</f>
        <v>0</v>
      </c>
      <c r="M554" s="170"/>
      <c r="N554" s="170">
        <f ca="1">IFERROR(__xludf.DUMMYFUNCTION("IMPORTRANGE(""https://docs.google.com/spreadsheets/d/1XL5vhW3sbDhbH9Cz0tuDiY8C3ctxq1tqvaCgkFb8cCA/edit?usp=sharing"",""ร้อยเอ็ด!M449"")"),0)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IFERROR(__xludf.DUMMYFUNCTION("IMPORTRANGE(""https://docs.google.com/spreadsheets/d/1XL5vhW3sbDhbH9Cz0tuDiY8C3ctxq1tqvaCgkFb8cCA/edit?usp=sharing"",""ร้อยเอ็ด!L450"")"),0)</f>
        <v>0</v>
      </c>
      <c r="M555" s="170"/>
      <c r="N555" s="170">
        <f ca="1">IFERROR(__xludf.DUMMYFUNCTION("IMPORTRANGE(""https://docs.google.com/spreadsheets/d/1XL5vhW3sbDhbH9Cz0tuDiY8C3ctxq1tqvaCgkFb8cCA/edit?usp=sharing"",""ร้อยเอ็ด!M450"")"),0)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IFERROR(__xludf.DUMMYFUNCTION("IMPORTRANGE(""https://docs.google.com/spreadsheets/d/1XL5vhW3sbDhbH9Cz0tuDiY8C3ctxq1tqvaCgkFb8cCA/edit?usp=sharing"",""ร้อยเอ็ด!M451"")"),0)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IFERROR(__xludf.DUMMYFUNCTION("IMPORTRANGE(""https://docs.google.com/spreadsheets/d/1XL5vhW3sbDhbH9Cz0tuDiY8C3ctxq1tqvaCgkFb8cCA/edit?usp=sharing"",""ร้อยเอ็ด!M452"")"),0)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IFERROR(__xludf.DUMMYFUNCTION("IMPORTRANGE(""https://docs.google.com/spreadsheets/d/1XL5vhW3sbDhbH9Cz0tuDiY8C3ctxq1tqvaCgkFb8cCA/edit?usp=sharing"",""ร้อยเอ็ด!M453"")"),0)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IFERROR(__xludf.DUMMYFUNCTION("IMPORTRANGE(""https://docs.google.com/spreadsheets/d/1XL5vhW3sbDhbH9Cz0tuDiY8C3ctxq1tqvaCgkFb8cCA/edit?usp=sharing"",""ร้อยเอ็ด!M454"")"),0)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IFERROR(__xludf.DUMMYFUNCTION("IMPORTRANGE(""https://docs.google.com/spreadsheets/d/1XL5vhW3sbDhbH9Cz0tuDiY8C3ctxq1tqvaCgkFb8cCA/edit?usp=sharing"",""ร้อยเอ็ด!I455"")"),0)</f>
        <v>0</v>
      </c>
      <c r="J560" s="164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IFERROR(__xludf.DUMMYFUNCTION("IMPORTRANGE(""https://docs.google.com/spreadsheets/d/1XL5vhW3sbDhbH9Cz0tuDiY8C3ctxq1tqvaCgkFb8cCA/edit?usp=sharing"",""ร้อยเอ็ด!I456"")"),0)</f>
        <v>0</v>
      </c>
      <c r="J561" s="205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IFERROR(__xludf.DUMMYFUNCTION("IMPORTRANGE(""https://docs.google.com/spreadsheets/d/1XL5vhW3sbDhbH9Cz0tuDiY8C3ctxq1tqvaCgkFb8cCA/edit?usp=sharing"",""ร้อยเอ็ด!I457"")"),0)</f>
        <v>0</v>
      </c>
      <c r="J562" s="205" t="str">
        <f ca="1">IFERROR(__xludf.DUMMYFUNCTION("IMPORTRANGE(""https://docs.google.com/spreadsheets/d/1XL5vhW3sbDhbH9Cz0tuDiY8C3ctxq1tqvaCgkFb8cCA/edit?usp=sharing"",""ร้อยเอ็ด!J457"")"),"")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IFERROR(__xludf.DUMMYFUNCTION("IMPORTRANGE(""https://docs.google.com/spreadsheets/d/1XL5vhW3sbDhbH9Cz0tuDiY8C3ctxq1tqvaCgkFb8cCA/edit?usp=sharing"",""ร้อยเอ็ด!I458"")"),0)</f>
        <v>0</v>
      </c>
      <c r="J563" s="189" t="str">
        <f ca="1">IFERROR(__xludf.DUMMYFUNCTION("IMPORTRANGE(""https://docs.google.com/spreadsheets/d/1XL5vhW3sbDhbH9Cz0tuDiY8C3ctxq1tqvaCgkFb8cCA/edit?usp=sharing"",""ร้อยเอ็ด!J458"")"),"")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IFERROR(__xludf.DUMMYFUNCTION("IMPORTRANGE(""https://docs.google.com/spreadsheets/d/1XL5vhW3sbDhbH9Cz0tuDiY8C3ctxq1tqvaCgkFb8cCA/edit?usp=sharing"",""ร้อยเอ็ด!J459"")"),4562)</f>
        <v>4562</v>
      </c>
      <c r="K564" s="372">
        <f t="shared" ca="1" si="121"/>
        <v>162.92857142857142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IFERROR(__xludf.DUMMYFUNCTION("IMPORTRANGE(""https://docs.google.com/spreadsheets/d/1XL5vhW3sbDhbH9Cz0tuDiY8C3ctxq1tqvaCgkFb8cCA/edit?usp=sharing"",""ร้อยเอ็ด!M459"")"),42476.16)</f>
        <v>42476.160000000003</v>
      </c>
      <c r="O564" s="373">
        <f t="shared" ref="O564:O568" ca="1" si="122">+IF(L564&gt;0,N564*100/L564,0)</f>
        <v>29.695302013422818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IFERROR(__xludf.DUMMYFUNCTION("IMPORTRANGE(""https://docs.google.com/spreadsheets/d/1XL5vhW3sbDhbH9Cz0tuDiY8C3ctxq1tqvaCgkFb8cCA/edit?usp=sharing"",""ร้อยเอ็ด!L460"")"),0)</f>
        <v>0</v>
      </c>
      <c r="M565" s="166"/>
      <c r="N565" s="170">
        <f ca="1">IFERROR(__xludf.DUMMYFUNCTION("IMPORTRANGE(""https://docs.google.com/spreadsheets/d/1XL5vhW3sbDhbH9Cz0tuDiY8C3ctxq1tqvaCgkFb8cCA/edit?usp=sharing"",""ร้อยเอ็ด!M460"")"),0)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IFERROR(__xludf.DUMMYFUNCTION("IMPORTRANGE(""https://docs.google.com/spreadsheets/d/1XL5vhW3sbDhbH9Cz0tuDiY8C3ctxq1tqvaCgkFb8cCA/edit?usp=sharing"",""ร้อยเอ็ด!L461"")"),143040)</f>
        <v>143040</v>
      </c>
      <c r="M566" s="167"/>
      <c r="N566" s="170">
        <f ca="1">IFERROR(__xludf.DUMMYFUNCTION("IMPORTRANGE(""https://docs.google.com/spreadsheets/d/1XL5vhW3sbDhbH9Cz0tuDiY8C3ctxq1tqvaCgkFb8cCA/edit?usp=sharing"",""ร้อยเอ็ด!M461"")"),42476.16)</f>
        <v>42476.160000000003</v>
      </c>
      <c r="O566" s="170">
        <f t="shared" ca="1" si="122"/>
        <v>29.695302013422818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IFERROR(__xludf.DUMMYFUNCTION("IMPORTRANGE(""https://docs.google.com/spreadsheets/d/1XL5vhW3sbDhbH9Cz0tuDiY8C3ctxq1tqvaCgkFb8cCA/edit?usp=sharing"",""ร้อยเอ็ด!L462"")"),0)</f>
        <v>0</v>
      </c>
      <c r="M567" s="170"/>
      <c r="N567" s="170">
        <f ca="1">IFERROR(__xludf.DUMMYFUNCTION("IMPORTRANGE(""https://docs.google.com/spreadsheets/d/1XL5vhW3sbDhbH9Cz0tuDiY8C3ctxq1tqvaCgkFb8cCA/edit?usp=sharing"",""ร้อยเอ็ด!M462"")"),0)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IFERROR(__xludf.DUMMYFUNCTION("IMPORTRANGE(""https://docs.google.com/spreadsheets/d/1XL5vhW3sbDhbH9Cz0tuDiY8C3ctxq1tqvaCgkFb8cCA/edit?usp=sharing"",""ร้อยเอ็ด!L463"")"),143040)</f>
        <v>143040</v>
      </c>
      <c r="M568" s="170"/>
      <c r="N568" s="170">
        <f ca="1">IFERROR(__xludf.DUMMYFUNCTION("IMPORTRANGE(""https://docs.google.com/spreadsheets/d/1XL5vhW3sbDhbH9Cz0tuDiY8C3ctxq1tqvaCgkFb8cCA/edit?usp=sharing"",""ร้อยเอ็ด!M463"")"),42476.16)</f>
        <v>42476.160000000003</v>
      </c>
      <c r="O568" s="170">
        <f t="shared" ca="1" si="122"/>
        <v>29.695302013422818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IFERROR(__xludf.DUMMYFUNCTION("IMPORTRANGE(""https://docs.google.com/spreadsheets/d/1XL5vhW3sbDhbH9Cz0tuDiY8C3ctxq1tqvaCgkFb8cCA/edit?usp=sharing"",""ร้อยเอ็ด!M464"")"),0)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IFERROR(__xludf.DUMMYFUNCTION("IMPORTRANGE(""https://docs.google.com/spreadsheets/d/1XL5vhW3sbDhbH9Cz0tuDiY8C3ctxq1tqvaCgkFb8cCA/edit?usp=sharing"",""ร้อยเอ็ด!M465"")"),0)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IFERROR(__xludf.DUMMYFUNCTION("IMPORTRANGE(""https://docs.google.com/spreadsheets/d/1XL5vhW3sbDhbH9Cz0tuDiY8C3ctxq1tqvaCgkFb8cCA/edit?usp=sharing"",""ร้อยเอ็ด!M466"")"),41516.16)</f>
        <v>41516.160000000003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IFERROR(__xludf.DUMMYFUNCTION("IMPORTRANGE(""https://docs.google.com/spreadsheets/d/1XL5vhW3sbDhbH9Cz0tuDiY8C3ctxq1tqvaCgkFb8cCA/edit?usp=sharing"",""ร้อยเอ็ด!M467"")"),960)</f>
        <v>960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IFERROR(__xludf.DUMMYFUNCTION("IMPORTRANGE(""https://docs.google.com/spreadsheets/d/1XL5vhW3sbDhbH9Cz0tuDiY8C3ctxq1tqvaCgkFb8cCA/edit?usp=sharing"",""ร้อยเอ็ด!J468"")"),4562)</f>
        <v>4562</v>
      </c>
      <c r="K573" s="203">
        <f ca="1">IF(I573&gt;0,J573*100/I573,0)</f>
        <v>162.92857142857142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IFERROR(__xludf.DUMMYFUNCTION("IMPORTRANGE(""https://docs.google.com/spreadsheets/d/1XL5vhW3sbDhbH9Cz0tuDiY8C3ctxq1tqvaCgkFb8cCA/edit?usp=sharing"",""ร้อยเอ็ด!I470"")"),0)</f>
        <v>0</v>
      </c>
      <c r="J575" s="199">
        <f ca="1">IFERROR(__xludf.DUMMYFUNCTION("IMPORTRANGE(""https://docs.google.com/spreadsheets/d/1XL5vhW3sbDhbH9Cz0tuDiY8C3ctxq1tqvaCgkFb8cCA/edit?usp=sharing"",""ร้อยเอ็ด!J470"")"),4)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IFERROR(__xludf.DUMMYFUNCTION("IMPORTRANGE(""https://docs.google.com/spreadsheets/d/1XL5vhW3sbDhbH9Cz0tuDiY8C3ctxq1tqvaCgkFb8cCA/edit?usp=sharing"",""ร้อยเอ็ด!I471"")"),0)</f>
        <v>0</v>
      </c>
      <c r="J576" s="199">
        <f ca="1">IFERROR(__xludf.DUMMYFUNCTION("IMPORTRANGE(""https://docs.google.com/spreadsheets/d/1XL5vhW3sbDhbH9Cz0tuDiY8C3ctxq1tqvaCgkFb8cCA/edit?usp=sharing"",""ร้อยเอ็ด!J471"")"),200)</f>
        <v>200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IFERROR(__xludf.DUMMYFUNCTION("IMPORTRANGE(""https://docs.google.com/spreadsheets/d/1XL5vhW3sbDhbH9Cz0tuDiY8C3ctxq1tqvaCgkFb8cCA/edit?usp=sharing"",""ร้อยเอ็ด!I472"")"),0)</f>
        <v>0</v>
      </c>
      <c r="J577" s="190">
        <f ca="1">IFERROR(__xludf.DUMMYFUNCTION("IMPORTRANGE(""https://docs.google.com/spreadsheets/d/1XL5vhW3sbDhbH9Cz0tuDiY8C3ctxq1tqvaCgkFb8cCA/edit?usp=sharing"",""ร้อยเอ็ด!J472"")"),4152)</f>
        <v>4152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IFERROR(__xludf.DUMMYFUNCTION("IMPORTRANGE(""https://docs.google.com/spreadsheets/d/1XL5vhW3sbDhbH9Cz0tuDiY8C3ctxq1tqvaCgkFb8cCA/edit?usp=sharing"",""ร้อยเอ็ด!I473"")"),0)</f>
        <v>0</v>
      </c>
      <c r="J578" s="199">
        <f ca="1">IFERROR(__xludf.DUMMYFUNCTION("IMPORTRANGE(""https://docs.google.com/spreadsheets/d/1XL5vhW3sbDhbH9Cz0tuDiY8C3ctxq1tqvaCgkFb8cCA/edit?usp=sharing"",""ร้อยเอ็ด!J473"")"),10)</f>
        <v>10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IFERROR(__xludf.DUMMYFUNCTION("IMPORTRANGE(""https://docs.google.com/spreadsheets/d/1XL5vhW3sbDhbH9Cz0tuDiY8C3ctxq1tqvaCgkFb8cCA/edit?usp=sharing"",""ร้อยเอ็ด!I474"")"),0)</f>
        <v>0</v>
      </c>
      <c r="J579" s="199">
        <f ca="1">IFERROR(__xludf.DUMMYFUNCTION("IMPORTRANGE(""https://docs.google.com/spreadsheets/d/1XL5vhW3sbDhbH9Cz0tuDiY8C3ctxq1tqvaCgkFb8cCA/edit?usp=sharing"",""ร้อยเอ็ด!J474"")"),200)</f>
        <v>200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IFERROR(__xludf.DUMMYFUNCTION("IMPORTRANGE(""https://docs.google.com/spreadsheets/d/1XL5vhW3sbDhbH9Cz0tuDiY8C3ctxq1tqvaCgkFb8cCA/edit?usp=sharing"",""ร้อยเอ็ด!M475"")"),25260.41)</f>
        <v>25260.41</v>
      </c>
      <c r="O580" s="373">
        <f t="shared" ref="O580:O584" ca="1" si="124">+IF(L580&gt;0,N580*100/L580,0)</f>
        <v>8.4931779974446915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IFERROR(__xludf.DUMMYFUNCTION("IMPORTRANGE(""https://docs.google.com/spreadsheets/d/1XL5vhW3sbDhbH9Cz0tuDiY8C3ctxq1tqvaCgkFb8cCA/edit?usp=sharing"",""ร้อยเอ็ด!L476"")"),0)</f>
        <v>0</v>
      </c>
      <c r="M581" s="166"/>
      <c r="N581" s="170">
        <f ca="1">IFERROR(__xludf.DUMMYFUNCTION("IMPORTRANGE(""https://docs.google.com/spreadsheets/d/1XL5vhW3sbDhbH9Cz0tuDiY8C3ctxq1tqvaCgkFb8cCA/edit?usp=sharing"",""ร้อยเอ็ด!M476"")"),0)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IFERROR(__xludf.DUMMYFUNCTION("IMPORTRANGE(""https://docs.google.com/spreadsheets/d/1XL5vhW3sbDhbH9Cz0tuDiY8C3ctxq1tqvaCgkFb8cCA/edit?usp=sharing"",""ร้อยเอ็ด!L477"")"),297420)</f>
        <v>297420</v>
      </c>
      <c r="M582" s="167"/>
      <c r="N582" s="170">
        <f ca="1">IFERROR(__xludf.DUMMYFUNCTION("IMPORTRANGE(""https://docs.google.com/spreadsheets/d/1XL5vhW3sbDhbH9Cz0tuDiY8C3ctxq1tqvaCgkFb8cCA/edit?usp=sharing"",""ร้อยเอ็ด!M477"")"),25260.41)</f>
        <v>25260.41</v>
      </c>
      <c r="O582" s="170">
        <f t="shared" ca="1" si="124"/>
        <v>8.4931779974446915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IFERROR(__xludf.DUMMYFUNCTION("IMPORTRANGE(""https://docs.google.com/spreadsheets/d/1XL5vhW3sbDhbH9Cz0tuDiY8C3ctxq1tqvaCgkFb8cCA/edit?usp=sharing"",""ร้อยเอ็ด!L478"")"),0)</f>
        <v>0</v>
      </c>
      <c r="M583" s="170"/>
      <c r="N583" s="170">
        <f ca="1">IFERROR(__xludf.DUMMYFUNCTION("IMPORTRANGE(""https://docs.google.com/spreadsheets/d/1XL5vhW3sbDhbH9Cz0tuDiY8C3ctxq1tqvaCgkFb8cCA/edit?usp=sharing"",""ร้อยเอ็ด!M478"")"),0)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IFERROR(__xludf.DUMMYFUNCTION("IMPORTRANGE(""https://docs.google.com/spreadsheets/d/1XL5vhW3sbDhbH9Cz0tuDiY8C3ctxq1tqvaCgkFb8cCA/edit?usp=sharing"",""ร้อยเอ็ด!L479"")"),297420)</f>
        <v>297420</v>
      </c>
      <c r="M584" s="170"/>
      <c r="N584" s="170">
        <f ca="1">IFERROR(__xludf.DUMMYFUNCTION("IMPORTRANGE(""https://docs.google.com/spreadsheets/d/1XL5vhW3sbDhbH9Cz0tuDiY8C3ctxq1tqvaCgkFb8cCA/edit?usp=sharing"",""ร้อยเอ็ด!M479"")"),25260.41)</f>
        <v>25260.41</v>
      </c>
      <c r="O584" s="170">
        <f t="shared" ca="1" si="124"/>
        <v>8.4931779974446915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IFERROR(__xludf.DUMMYFUNCTION("IMPORTRANGE(""https://docs.google.com/spreadsheets/d/1XL5vhW3sbDhbH9Cz0tuDiY8C3ctxq1tqvaCgkFb8cCA/edit?usp=sharing"",""ร้อยเอ็ด!M480"")"),0)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IFERROR(__xludf.DUMMYFUNCTION("IMPORTRANGE(""https://docs.google.com/spreadsheets/d/1XL5vhW3sbDhbH9Cz0tuDiY8C3ctxq1tqvaCgkFb8cCA/edit?usp=sharing"",""ร้อยเอ็ด!M481"")"),0)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IFERROR(__xludf.DUMMYFUNCTION("IMPORTRANGE(""https://docs.google.com/spreadsheets/d/1XL5vhW3sbDhbH9Cz0tuDiY8C3ctxq1tqvaCgkFb8cCA/edit?usp=sharing"",""ร้อยเอ็ด!M482"")"),9580.41)</f>
        <v>9580.41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IFERROR(__xludf.DUMMYFUNCTION("IMPORTRANGE(""https://docs.google.com/spreadsheets/d/1XL5vhW3sbDhbH9Cz0tuDiY8C3ctxq1tqvaCgkFb8cCA/edit?usp=sharing"",""ร้อยเอ็ด!M483"")"),15680)</f>
        <v>15680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IFERROR(__xludf.DUMMYFUNCTION("IMPORTRANGE(""https://docs.google.com/spreadsheets/d/1XL5vhW3sbDhbH9Cz0tuDiY8C3ctxq1tqvaCgkFb8cCA/edit?usp=sharing"",""ร้อยเอ็ด!I484"")"),120)</f>
        <v>120</v>
      </c>
      <c r="J589" s="189">
        <f ca="1">IFERROR(__xludf.DUMMYFUNCTION("IMPORTRANGE(""https://docs.google.com/spreadsheets/d/1XL5vhW3sbDhbH9Cz0tuDiY8C3ctxq1tqvaCgkFb8cCA/edit?usp=sharing"",""ร้อยเอ็ด!J484"")"),105)</f>
        <v>105</v>
      </c>
      <c r="K589" s="165">
        <f t="shared" ref="K589:K596" ca="1" si="125">IF(I589&gt;0,J589*100/I589,0)</f>
        <v>87.5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9">
        <f ca="1">IFERROR(__xludf.DUMMYFUNCTION("IMPORTRANGE(""https://docs.google.com/spreadsheets/d/1XL5vhW3sbDhbH9Cz0tuDiY8C3ctxq1tqvaCgkFb8cCA/edit?usp=sharing"",""ร้อยเอ็ด!J485"")"),57.63)</f>
        <v>57.63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IFERROR(__xludf.DUMMYFUNCTION("IMPORTRANGE(""https://docs.google.com/spreadsheets/d/1XL5vhW3sbDhbH9Cz0tuDiY8C3ctxq1tqvaCgkFb8cCA/edit?usp=sharing"",""ร้อยเอ็ด!I486"")"),120)</f>
        <v>120</v>
      </c>
      <c r="J591" s="189">
        <f ca="1">IFERROR(__xludf.DUMMYFUNCTION("IMPORTRANGE(""https://docs.google.com/spreadsheets/d/1XL5vhW3sbDhbH9Cz0tuDiY8C3ctxq1tqvaCgkFb8cCA/edit?usp=sharing"",""ร้อยเอ็ด!J486"")"),99)</f>
        <v>99</v>
      </c>
      <c r="K591" s="165">
        <f t="shared" ca="1" si="125"/>
        <v>82.5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9">
        <f ca="1">IFERROR(__xludf.DUMMYFUNCTION("IMPORTRANGE(""https://docs.google.com/spreadsheets/d/1XL5vhW3sbDhbH9Cz0tuDiY8C3ctxq1tqvaCgkFb8cCA/edit?usp=sharing"",""ร้อยเอ็ด!J487"")"),58.22)</f>
        <v>58.22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IFERROR(__xludf.DUMMYFUNCTION("IMPORTRANGE(""https://docs.google.com/spreadsheets/d/1XL5vhW3sbDhbH9Cz0tuDiY8C3ctxq1tqvaCgkFb8cCA/edit?usp=sharing"",""ร้อยเอ็ด!I488"")"),120)</f>
        <v>120</v>
      </c>
      <c r="J593" s="189">
        <f ca="1">IFERROR(__xludf.DUMMYFUNCTION("IMPORTRANGE(""https://docs.google.com/spreadsheets/d/1XL5vhW3sbDhbH9Cz0tuDiY8C3ctxq1tqvaCgkFb8cCA/edit?usp=sharing"",""ร้อยเอ็ด!J488"")"),82)</f>
        <v>82</v>
      </c>
      <c r="K593" s="165">
        <f t="shared" ca="1" si="125"/>
        <v>68.333333333333329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9">
        <f ca="1">IFERROR(__xludf.DUMMYFUNCTION("IMPORTRANGE(""https://docs.google.com/spreadsheets/d/1XL5vhW3sbDhbH9Cz0tuDiY8C3ctxq1tqvaCgkFb8cCA/edit?usp=sharing"",""ร้อยเอ็ด!J489"")"),47.09)</f>
        <v>47.09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IFERROR(__xludf.DUMMYFUNCTION("IMPORTRANGE(""https://docs.google.com/spreadsheets/d/1XL5vhW3sbDhbH9Cz0tuDiY8C3ctxq1tqvaCgkFb8cCA/edit?usp=sharing"",""ร้อยเอ็ด!I490"")"),120)</f>
        <v>120</v>
      </c>
      <c r="J595" s="189">
        <f ca="1">IFERROR(__xludf.DUMMYFUNCTION("IMPORTRANGE(""https://docs.google.com/spreadsheets/d/1XL5vhW3sbDhbH9Cz0tuDiY8C3ctxq1tqvaCgkFb8cCA/edit?usp=sharing"",""ร้อยเอ็ด!J490"")"),0)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7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IFERROR(__xludf.DUMMYFUNCTION("IMPORTRANGE(""https://docs.google.com/spreadsheets/d/1XL5vhW3sbDhbH9Cz0tuDiY8C3ctxq1tqvaCgkFb8cCA/edit?usp=sharing"",""ร้อยเอ็ด!M492"")"),1300)</f>
        <v>1300</v>
      </c>
      <c r="O597" s="412">
        <f t="shared" ref="O597:O601" ca="1" si="126">+IF(L597&gt;0,N597*100/L597,0)</f>
        <v>17.80821917808219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IFERROR(__xludf.DUMMYFUNCTION("IMPORTRANGE(""https://docs.google.com/spreadsheets/d/1XL5vhW3sbDhbH9Cz0tuDiY8C3ctxq1tqvaCgkFb8cCA/edit?usp=sharing"",""ร้อยเอ็ด!L493"")"),0)</f>
        <v>0</v>
      </c>
      <c r="M598" s="166"/>
      <c r="N598" s="170">
        <f ca="1">IFERROR(__xludf.DUMMYFUNCTION("IMPORTRANGE(""https://docs.google.com/spreadsheets/d/1XL5vhW3sbDhbH9Cz0tuDiY8C3ctxq1tqvaCgkFb8cCA/edit?usp=sharing"",""ร้อยเอ็ด!M493"")"),0)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IFERROR(__xludf.DUMMYFUNCTION("IMPORTRANGE(""https://docs.google.com/spreadsheets/d/1XL5vhW3sbDhbH9Cz0tuDiY8C3ctxq1tqvaCgkFb8cCA/edit?usp=sharing"",""ร้อยเอ็ด!L494"")"),7300)</f>
        <v>7300</v>
      </c>
      <c r="M599" s="167"/>
      <c r="N599" s="170">
        <f ca="1">IFERROR(__xludf.DUMMYFUNCTION("IMPORTRANGE(""https://docs.google.com/spreadsheets/d/1XL5vhW3sbDhbH9Cz0tuDiY8C3ctxq1tqvaCgkFb8cCA/edit?usp=sharing"",""ร้อยเอ็ด!M494"")"),1300)</f>
        <v>1300</v>
      </c>
      <c r="O599" s="170">
        <f t="shared" ca="1" si="126"/>
        <v>17.80821917808219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IFERROR(__xludf.DUMMYFUNCTION("IMPORTRANGE(""https://docs.google.com/spreadsheets/d/1XL5vhW3sbDhbH9Cz0tuDiY8C3ctxq1tqvaCgkFb8cCA/edit?usp=sharing"",""ร้อยเอ็ด!L495"")"),0)</f>
        <v>0</v>
      </c>
      <c r="M600" s="170"/>
      <c r="N600" s="170">
        <f ca="1">IFERROR(__xludf.DUMMYFUNCTION("IMPORTRANGE(""https://docs.google.com/spreadsheets/d/1XL5vhW3sbDhbH9Cz0tuDiY8C3ctxq1tqvaCgkFb8cCA/edit?usp=sharing"",""ร้อยเอ็ด!M495"")"),0)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IFERROR(__xludf.DUMMYFUNCTION("IMPORTRANGE(""https://docs.google.com/spreadsheets/d/1XL5vhW3sbDhbH9Cz0tuDiY8C3ctxq1tqvaCgkFb8cCA/edit?usp=sharing"",""ร้อยเอ็ด!L496"")"),7300)</f>
        <v>7300</v>
      </c>
      <c r="M601" s="170"/>
      <c r="N601" s="170">
        <f ca="1">IFERROR(__xludf.DUMMYFUNCTION("IMPORTRANGE(""https://docs.google.com/spreadsheets/d/1XL5vhW3sbDhbH9Cz0tuDiY8C3ctxq1tqvaCgkFb8cCA/edit?usp=sharing"",""ร้อยเอ็ด!M496"")"),1300)</f>
        <v>1300</v>
      </c>
      <c r="O601" s="170">
        <f t="shared" ca="1" si="126"/>
        <v>17.80821917808219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IFERROR(__xludf.DUMMYFUNCTION("IMPORTRANGE(""https://docs.google.com/spreadsheets/d/1XL5vhW3sbDhbH9Cz0tuDiY8C3ctxq1tqvaCgkFb8cCA/edit?usp=sharing"",""ร้อยเอ็ด!M497"")"),0)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IFERROR(__xludf.DUMMYFUNCTION("IMPORTRANGE(""https://docs.google.com/spreadsheets/d/1XL5vhW3sbDhbH9Cz0tuDiY8C3ctxq1tqvaCgkFb8cCA/edit?usp=sharing"",""ร้อยเอ็ด!M498"")"),0)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IFERROR(__xludf.DUMMYFUNCTION("IMPORTRANGE(""https://docs.google.com/spreadsheets/d/1XL5vhW3sbDhbH9Cz0tuDiY8C3ctxq1tqvaCgkFb8cCA/edit?usp=sharing"",""ร้อยเอ็ด!M500"")"),1300)</f>
        <v>1300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IFERROR(__xludf.DUMMYFUNCTION("IMPORTRANGE(""https://docs.google.com/spreadsheets/d/1XL5vhW3sbDhbH9Cz0tuDiY8C3ctxq1tqvaCgkFb8cCA/edit?usp=sharing"",""ร้อยเอ็ด!J502"")"),0)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IFERROR(__xludf.DUMMYFUNCTION("IMPORTRANGE(""https://docs.google.com/spreadsheets/d/1XL5vhW3sbDhbH9Cz0tuDiY8C3ctxq1tqvaCgkFb8cCA/edit?usp=sharing"",""ร้อยเอ็ด!J503"")"),1)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IFERROR(__xludf.DUMMYFUNCTION("IMPORTRANGE(""https://docs.google.com/spreadsheets/d/1XL5vhW3sbDhbH9Cz0tuDiY8C3ctxq1tqvaCgkFb8cCA/edit?usp=sharing"",""ร้อยเอ็ด!J166"")"),0)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IFERROR(__xludf.DUMMYFUNCTION("IMPORTRANGE(""https://docs.google.com/spreadsheets/d/1XL5vhW3sbDhbH9Cz0tuDiY8C3ctxq1tqvaCgkFb8cCA/edit?usp=sharing"",""ร้อยเอ็ด!J166"")"),0)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IFERROR(__xludf.DUMMYFUNCTION("IMPORTRANGE(""https://docs.google.com/spreadsheets/d/1XL5vhW3sbDhbH9Cz0tuDiY8C3ctxq1tqvaCgkFb8cCA/edit?usp=sharing"",""ร้อยเอ็ด!I506"")"),100)</f>
        <v>100</v>
      </c>
      <c r="J611" s="164">
        <f ca="1">IFERROR(__xludf.DUMMYFUNCTION("IMPORTRANGE(""https://docs.google.com/spreadsheets/d/1XL5vhW3sbDhbH9Cz0tuDiY8C3ctxq1tqvaCgkFb8cCA/edit?usp=sharing"",""ร้อยเอ็ด!J506"")"),0)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IFERROR(__xludf.DUMMYFUNCTION("IMPORTRANGE(""https://docs.google.com/spreadsheets/d/1XL5vhW3sbDhbH9Cz0tuDiY8C3ctxq1tqvaCgkFb8cCA/edit?usp=sharing"",""ร้อยเอ็ด!I507"")"),0)</f>
        <v>0</v>
      </c>
      <c r="J612" s="199">
        <f ca="1">IFERROR(__xludf.DUMMYFUNCTION("IMPORTRANGE(""https://docs.google.com/spreadsheets/d/1XL5vhW3sbDhbH9Cz0tuDiY8C3ctxq1tqvaCgkFb8cCA/edit?usp=sharing"",""ร้อยเอ็ด!J507"")"),100)</f>
        <v>100</v>
      </c>
      <c r="K612" s="165">
        <f t="shared" ca="1" si="127"/>
        <v>100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IFERROR(__xludf.DUMMYFUNCTION("IMPORTRANGE(""https://docs.google.com/spreadsheets/d/1XL5vhW3sbDhbH9Cz0tuDiY8C3ctxq1tqvaCgkFb8cCA/edit?usp=sharing"",""ร้อยเอ็ด!I508"")"),0)</f>
        <v>0</v>
      </c>
      <c r="J613" s="199">
        <f ca="1">IFERROR(__xludf.DUMMYFUNCTION("IMPORTRANGE(""https://docs.google.com/spreadsheets/d/1XL5vhW3sbDhbH9Cz0tuDiY8C3ctxq1tqvaCgkFb8cCA/edit?usp=sharing"",""ร้อยเอ็ด!J508"")"),0)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IFERROR(__xludf.DUMMYFUNCTION("IMPORTRANGE(""https://docs.google.com/spreadsheets/d/1XL5vhW3sbDhbH9Cz0tuDiY8C3ctxq1tqvaCgkFb8cCA/edit?usp=sharing"",""ร้อยเอ็ด!I509"")"),0)</f>
        <v>0</v>
      </c>
      <c r="J614" s="199">
        <f ca="1">IFERROR(__xludf.DUMMYFUNCTION("IMPORTRANGE(""https://docs.google.com/spreadsheets/d/1XL5vhW3sbDhbH9Cz0tuDiY8C3ctxq1tqvaCgkFb8cCA/edit?usp=sharing"",""ร้อยเอ็ด!J509"")"),100)</f>
        <v>100</v>
      </c>
      <c r="K614" s="165">
        <f t="shared" ca="1" si="127"/>
        <v>100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IFERROR(__xludf.DUMMYFUNCTION("IMPORTRANGE(""https://docs.google.com/spreadsheets/d/1XL5vhW3sbDhbH9Cz0tuDiY8C3ctxq1tqvaCgkFb8cCA/edit?usp=sharing"",""ร้อยเอ็ด!I510"")"),0)</f>
        <v>0</v>
      </c>
      <c r="J615" s="199">
        <f ca="1">IFERROR(__xludf.DUMMYFUNCTION("IMPORTRANGE(""https://docs.google.com/spreadsheets/d/1XL5vhW3sbDhbH9Cz0tuDiY8C3ctxq1tqvaCgkFb8cCA/edit?usp=sharing"",""ร้อยเอ็ด!J510"")"),100)</f>
        <v>100</v>
      </c>
      <c r="K615" s="165">
        <f t="shared" ca="1" si="127"/>
        <v>100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IFERROR(__xludf.DUMMYFUNCTION("IMPORTRANGE(""https://docs.google.com/spreadsheets/d/1XL5vhW3sbDhbH9Cz0tuDiY8C3ctxq1tqvaCgkFb8cCA/edit?usp=sharing"",""ร้อยเอ็ด!I511"")"),0)</f>
        <v>0</v>
      </c>
      <c r="J616" s="199">
        <f ca="1">IFERROR(__xludf.DUMMYFUNCTION("IMPORTRANGE(""https://docs.google.com/spreadsheets/d/1XL5vhW3sbDhbH9Cz0tuDiY8C3ctxq1tqvaCgkFb8cCA/edit?usp=sharing"",""ร้อยเอ็ด!J511"")"),0)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IFERROR(__xludf.DUMMYFUNCTION("IMPORTRANGE(""https://docs.google.com/spreadsheets/d/1XL5vhW3sbDhbH9Cz0tuDiY8C3ctxq1tqvaCgkFb8cCA/edit?usp=sharing"",""ร้อยเอ็ด!I512"")"),0)</f>
        <v>0</v>
      </c>
      <c r="J617" s="189">
        <f ca="1">IFERROR(__xludf.DUMMYFUNCTION("IMPORTRANGE(""https://docs.google.com/spreadsheets/d/1XL5vhW3sbDhbH9Cz0tuDiY8C3ctxq1tqvaCgkFb8cCA/edit?usp=sharing"",""ร้อยเอ็ด!J512"")"),0)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IFERROR(__xludf.DUMMYFUNCTION("IMPORTRANGE(""https://docs.google.com/spreadsheets/d/1XL5vhW3sbDhbH9Cz0tuDiY8C3ctxq1tqvaCgkFb8cCA/edit?usp=sharing"",""ร้อยเอ็ด!I513"")"),0)</f>
        <v>0</v>
      </c>
      <c r="J618" s="190">
        <f ca="1">IFERROR(__xludf.DUMMYFUNCTION("IMPORTRANGE(""https://docs.google.com/spreadsheets/d/1XL5vhW3sbDhbH9Cz0tuDiY8C3ctxq1tqvaCgkFb8cCA/edit?usp=sharing"",""ร้อยเอ็ด!J513"")"),0)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IFERROR(__xludf.DUMMYFUNCTION("IMPORTRANGE(""https://docs.google.com/spreadsheets/d/1XL5vhW3sbDhbH9Cz0tuDiY8C3ctxq1tqvaCgkFb8cCA/edit?usp=sharing"",""ร้อยเอ็ด!I514"")"),0)</f>
        <v>0</v>
      </c>
      <c r="J619" s="190">
        <f ca="1">IFERROR(__xludf.DUMMYFUNCTION("IMPORTRANGE(""https://docs.google.com/spreadsheets/d/1XL5vhW3sbDhbH9Cz0tuDiY8C3ctxq1tqvaCgkFb8cCA/edit?usp=sharing"",""ร้อยเอ็ด!J514"")"),0)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IFERROR(__xludf.DUMMYFUNCTION("IMPORTRANGE(""https://docs.google.com/spreadsheets/d/1XL5vhW3sbDhbH9Cz0tuDiY8C3ctxq1tqvaCgkFb8cCA/edit?usp=sharing"",""ร้อยเอ็ด!I515"")"),50)</f>
        <v>50</v>
      </c>
      <c r="J620" s="204">
        <f ca="1">IFERROR(__xludf.DUMMYFUNCTION("IMPORTRANGE(""https://docs.google.com/spreadsheets/d/1XL5vhW3sbDhbH9Cz0tuDiY8C3ctxq1tqvaCgkFb8cCA/edit?usp=sharing"",""ร้อยเอ็ด!J515"")"),0)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IFERROR(__xludf.DUMMYFUNCTION("IMPORTRANGE(""https://docs.google.com/spreadsheets/d/1XL5vhW3sbDhbH9Cz0tuDiY8C3ctxq1tqvaCgkFb8cCA/edit?usp=sharing"",""ร้อยเอ็ด!I516"")"),0)</f>
        <v>0</v>
      </c>
      <c r="J621" s="204">
        <f ca="1">IFERROR(__xludf.DUMMYFUNCTION("IMPORTRANGE(""https://docs.google.com/spreadsheets/d/1XL5vhW3sbDhbH9Cz0tuDiY8C3ctxq1tqvaCgkFb8cCA/edit?usp=sharing"",""ร้อยเอ็ด!J516"")"),0)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IFERROR(__xludf.DUMMYFUNCTION("IMPORTRANGE(""https://docs.google.com/spreadsheets/d/1XL5vhW3sbDhbH9Cz0tuDiY8C3ctxq1tqvaCgkFb8cCA/edit?usp=sharing"",""ร้อยเอ็ด!I517"")"),0)</f>
        <v>0</v>
      </c>
      <c r="J622" s="190">
        <f ca="1">IFERROR(__xludf.DUMMYFUNCTION("IMPORTRANGE(""https://docs.google.com/spreadsheets/d/1XL5vhW3sbDhbH9Cz0tuDiY8C3ctxq1tqvaCgkFb8cCA/edit?usp=sharing"",""ร้อยเอ็ด!J517"")"),0)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IFERROR(__xludf.DUMMYFUNCTION("IMPORTRANGE(""https://docs.google.com/spreadsheets/d/1XL5vhW3sbDhbH9Cz0tuDiY8C3ctxq1tqvaCgkFb8cCA/edit?usp=sharing"",""ร้อยเอ็ด!I518"")"),0)</f>
        <v>0</v>
      </c>
      <c r="J623" s="190">
        <f ca="1">IFERROR(__xludf.DUMMYFUNCTION("IMPORTRANGE(""https://docs.google.com/spreadsheets/d/1XL5vhW3sbDhbH9Cz0tuDiY8C3ctxq1tqvaCgkFb8cCA/edit?usp=sharing"",""ร้อยเอ็ด!J518"")"),0)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IFERROR(__xludf.DUMMYFUNCTION("IMPORTRANGE(""https://docs.google.com/spreadsheets/d/1XL5vhW3sbDhbH9Cz0tuDiY8C3ctxq1tqvaCgkFb8cCA/edit?usp=sharing"",""ร้อยเอ็ด!I519"")"),0)</f>
        <v>0</v>
      </c>
      <c r="J624" s="189">
        <f ca="1">IFERROR(__xludf.DUMMYFUNCTION("IMPORTRANGE(""https://docs.google.com/spreadsheets/d/1XL5vhW3sbDhbH9Cz0tuDiY8C3ctxq1tqvaCgkFb8cCA/edit?usp=sharing"",""ร้อยเอ็ด!J519"")"),0)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IFERROR(__xludf.DUMMYFUNCTION("IMPORTRANGE(""https://docs.google.com/spreadsheets/d/1XL5vhW3sbDhbH9Cz0tuDiY8C3ctxq1tqvaCgkFb8cCA/edit?usp=sharing"",""ร้อยเอ็ด!I520"")"),0)</f>
        <v>0</v>
      </c>
      <c r="J625" s="190">
        <f ca="1">IFERROR(__xludf.DUMMYFUNCTION("IMPORTRANGE(""https://docs.google.com/spreadsheets/d/1XL5vhW3sbDhbH9Cz0tuDiY8C3ctxq1tqvaCgkFb8cCA/edit?usp=sharing"",""ร้อยเอ็ด!J520"")"),0)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IFERROR(__xludf.DUMMYFUNCTION("IMPORTRANGE(""https://docs.google.com/spreadsheets/d/1XL5vhW3sbDhbH9Cz0tuDiY8C3ctxq1tqvaCgkFb8cCA/edit?usp=sharing"",""ร้อยเอ็ด!I521"")"),0)</f>
        <v>0</v>
      </c>
      <c r="J626" s="190">
        <f ca="1">IFERROR(__xludf.DUMMYFUNCTION("IMPORTRANGE(""https://docs.google.com/spreadsheets/d/1XL5vhW3sbDhbH9Cz0tuDiY8C3ctxq1tqvaCgkFb8cCA/edit?usp=sharing"",""ร้อยเอ็ด!J521"")"),0)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1">
        <f ca="1">IFERROR(__xludf.DUMMYFUNCTION("IMPORTRANGE(""https://docs.google.com/spreadsheets/d/1XL5vhW3sbDhbH9Cz0tuDiY8C3ctxq1tqvaCgkFb8cCA/edit?usp=sharing"",""ร้อยเอ็ด!J523"")"),2143969.05)</f>
        <v>2143969.0499999998</v>
      </c>
      <c r="K628" s="342">
        <f t="shared" ref="K628:K635" ca="1" si="129">IF(I628&gt;0,J628*100/I628,0)</f>
        <v>35.975862452076711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IFERROR(__xludf.DUMMYFUNCTION("IMPORTRANGE(""https://docs.google.com/spreadsheets/d/1XL5vhW3sbDhbH9Cz0tuDiY8C3ctxq1tqvaCgkFb8cCA/edit?usp=sharing"",""ร้อยเอ็ด!I524"")"),610)</f>
        <v>610</v>
      </c>
      <c r="J629" s="341">
        <f ca="1">IFERROR(__xludf.DUMMYFUNCTION("IMPORTRANGE(""https://docs.google.com/spreadsheets/d/1XL5vhW3sbDhbH9Cz0tuDiY8C3ctxq1tqvaCgkFb8cCA/edit?usp=sharing"",""ร้อยเอ็ด!J524"")"),174)</f>
        <v>174</v>
      </c>
      <c r="K629" s="342">
        <f t="shared" ca="1" si="129"/>
        <v>28.524590163934427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1">
        <f ca="1">IFERROR(__xludf.DUMMYFUNCTION("IMPORTRANGE(""https://docs.google.com/spreadsheets/d/1XL5vhW3sbDhbH9Cz0tuDiY8C3ctxq1tqvaCgkFb8cCA/edit?usp=sharing"",""ร้อยเอ็ด!J525"")"),3348508.76)</f>
        <v>3348508.76</v>
      </c>
      <c r="K630" s="342">
        <f t="shared" ca="1" si="129"/>
        <v>9.7459733265320736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IFERROR(__xludf.DUMMYFUNCTION("IMPORTRANGE(""https://docs.google.com/spreadsheets/d/1XL5vhW3sbDhbH9Cz0tuDiY8C3ctxq1tqvaCgkFb8cCA/edit?usp=sharing"",""ร้อยเอ็ด!I526"")"),1701)</f>
        <v>1701</v>
      </c>
      <c r="J631" s="341">
        <f ca="1">IFERROR(__xludf.DUMMYFUNCTION("IMPORTRANGE(""https://docs.google.com/spreadsheets/d/1XL5vhW3sbDhbH9Cz0tuDiY8C3ctxq1tqvaCgkFb8cCA/edit?usp=sharing"",""ร้อยเอ็ด!J526"")"),672)</f>
        <v>672</v>
      </c>
      <c r="K631" s="342">
        <f t="shared" ca="1" si="129"/>
        <v>39.506172839506171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IFERROR(__xludf.DUMMYFUNCTION("IMPORTRANGE(""https://docs.google.com/spreadsheets/d/1XL5vhW3sbDhbH9Cz0tuDiY8C3ctxq1tqvaCgkFb8cCA/edit?usp=sharing"",""ร้อยเอ็ด!I527"")"),0)</f>
        <v>0</v>
      </c>
      <c r="J632" s="341">
        <f ca="1">IFERROR(__xludf.DUMMYFUNCTION("IMPORTRANGE(""https://docs.google.com/spreadsheets/d/1XL5vhW3sbDhbH9Cz0tuDiY8C3ctxq1tqvaCgkFb8cCA/edit?usp=sharing"",""ร้อยเอ็ด!J527"")"),876.5)</f>
        <v>876.5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IFERROR(__xludf.DUMMYFUNCTION("IMPORTRANGE(""https://docs.google.com/spreadsheets/d/1XL5vhW3sbDhbH9Cz0tuDiY8C3ctxq1tqvaCgkFb8cCA/edit?usp=sharing"",""ร้อยเอ็ด!I528"")"),0)</f>
        <v>0</v>
      </c>
      <c r="J633" s="341">
        <f ca="1">IFERROR(__xludf.DUMMYFUNCTION("IMPORTRANGE(""https://docs.google.com/spreadsheets/d/1XL5vhW3sbDhbH9Cz0tuDiY8C3ctxq1tqvaCgkFb8cCA/edit?usp=sharing"",""ร้อยเอ็ด!J528"")"),1)</f>
        <v>1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IFERROR(__xludf.DUMMYFUNCTION("IMPORTRANGE(""https://docs.google.com/spreadsheets/d/1XL5vhW3sbDhbH9Cz0tuDiY8C3ctxq1tqvaCgkFb8cCA/edit?usp=sharing"",""ร้อยเอ็ด!I529"")"),3000000)</f>
        <v>3000000</v>
      </c>
      <c r="J634" s="341">
        <f ca="1">IFERROR(__xludf.DUMMYFUNCTION("IMPORTRANGE(""https://docs.google.com/spreadsheets/d/1XL5vhW3sbDhbH9Cz0tuDiY8C3ctxq1tqvaCgkFb8cCA/edit?usp=sharing"",""ร้อยเอ็ด!J529"")"),0)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IFERROR(__xludf.DUMMYFUNCTION("IMPORTRANGE(""https://docs.google.com/spreadsheets/d/1XL5vhW3sbDhbH9Cz0tuDiY8C3ctxq1tqvaCgkFb8cCA/edit?usp=sharing"",""ร้อยเอ็ด!I530"")"),80)</f>
        <v>80</v>
      </c>
      <c r="J635" s="504">
        <f ca="1">IFERROR(__xludf.DUMMYFUNCTION("IMPORTRANGE(""https://docs.google.com/spreadsheets/d/1XL5vhW3sbDhbH9Cz0tuDiY8C3ctxq1tqvaCgkFb8cCA/edit?usp=sharing"",""ร้อยเอ็ด!J530"")"),0)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6463551</v>
      </c>
      <c r="M8" s="23">
        <f t="shared" ca="1" si="0"/>
        <v>1921155</v>
      </c>
      <c r="N8" s="23">
        <f t="shared" ca="1" si="0"/>
        <v>1821962</v>
      </c>
      <c r="O8" s="22">
        <f t="shared" ref="O8:O16" ca="1" si="1">IF(L8&gt;0,N8*100/L8,0)</f>
        <v>28.188251318818402</v>
      </c>
      <c r="P8" s="22">
        <f t="shared" ref="P8:P16" ca="1" si="2">IF(M8&gt;0,N8*100/M8,0)</f>
        <v>94.836803901819479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6463551</v>
      </c>
      <c r="M10" s="30">
        <f t="shared" ca="1" si="4"/>
        <v>1921155</v>
      </c>
      <c r="N10" s="30">
        <f t="shared" ca="1" si="4"/>
        <v>1821962</v>
      </c>
      <c r="O10" s="29">
        <f t="shared" ca="1" si="1"/>
        <v>28.188251318818402</v>
      </c>
      <c r="P10" s="29">
        <f t="shared" ca="1" si="2"/>
        <v>94.836803901819479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6286551</v>
      </c>
      <c r="M12" s="38">
        <f t="shared" ca="1" si="6"/>
        <v>1744155</v>
      </c>
      <c r="N12" s="38">
        <f t="shared" ca="1" si="6"/>
        <v>1644962</v>
      </c>
      <c r="O12" s="38">
        <f t="shared" ca="1" si="1"/>
        <v>26.166366899751548</v>
      </c>
      <c r="P12" s="38">
        <f t="shared" ca="1" si="2"/>
        <v>94.312833435101808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4007151</v>
      </c>
      <c r="M14" s="38">
        <f t="shared" si="8"/>
        <v>0</v>
      </c>
      <c r="N14" s="38">
        <f t="shared" ca="1" si="8"/>
        <v>287669</v>
      </c>
      <c r="O14" s="38">
        <f t="shared" ca="1" si="1"/>
        <v>7.1788909377260799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3436205</v>
      </c>
      <c r="M18" s="23">
        <f t="shared" ca="1" si="11"/>
        <v>1921155</v>
      </c>
      <c r="N18" s="23">
        <f t="shared" ca="1" si="11"/>
        <v>1534293</v>
      </c>
      <c r="O18" s="22">
        <f t="shared" ref="O18:O20" ca="1" si="12">IF(L18&gt;0,N18*100/L18,0)</f>
        <v>44.650799355684541</v>
      </c>
      <c r="P18" s="22">
        <f t="shared" ref="P18:P26" ca="1" si="13">IF(M18&gt;0,N18*100/M18,0)</f>
        <v>79.863051133302619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3436205</v>
      </c>
      <c r="M20" s="30">
        <f t="shared" ca="1" si="15"/>
        <v>1921155</v>
      </c>
      <c r="N20" s="30">
        <f t="shared" ca="1" si="15"/>
        <v>1534293</v>
      </c>
      <c r="O20" s="29">
        <f t="shared" ca="1" si="12"/>
        <v>44.650799355684541</v>
      </c>
      <c r="P20" s="29">
        <f t="shared" ca="1" si="13"/>
        <v>79.863051133302619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3259205</v>
      </c>
      <c r="M22" s="41">
        <f t="shared" ca="1" si="18"/>
        <v>1744155</v>
      </c>
      <c r="N22" s="38">
        <f t="shared" ca="1" si="18"/>
        <v>1357293</v>
      </c>
      <c r="O22" s="38">
        <f t="shared" ca="1" si="17"/>
        <v>41.644910338564159</v>
      </c>
      <c r="P22" s="38">
        <f t="shared" ca="1" si="13"/>
        <v>77.819517187405935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979805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3027346</v>
      </c>
      <c r="M28" s="23">
        <f t="shared" si="23"/>
        <v>0</v>
      </c>
      <c r="N28" s="23">
        <f t="shared" ca="1" si="23"/>
        <v>287669</v>
      </c>
      <c r="O28" s="22">
        <f t="shared" ref="O28:O30" ca="1" si="24">IF(L28&gt;0,N28*100/L28,0)</f>
        <v>9.5023495827698579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3027346</v>
      </c>
      <c r="M30" s="30">
        <f t="shared" si="27"/>
        <v>0</v>
      </c>
      <c r="N30" s="30">
        <f t="shared" ca="1" si="27"/>
        <v>287669</v>
      </c>
      <c r="O30" s="29">
        <f t="shared" ca="1" si="24"/>
        <v>9.5023495827698579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3027346</v>
      </c>
      <c r="M32" s="38">
        <f t="shared" si="30"/>
        <v>0</v>
      </c>
      <c r="N32" s="38">
        <f t="shared" ca="1" si="30"/>
        <v>287669</v>
      </c>
      <c r="O32" s="38">
        <f t="shared" ca="1" si="29"/>
        <v>9.5023495827698579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3027346</v>
      </c>
      <c r="M34" s="38">
        <f t="shared" si="32"/>
        <v>0</v>
      </c>
      <c r="N34" s="38">
        <f t="shared" ca="1" si="32"/>
        <v>287669</v>
      </c>
      <c r="O34" s="38">
        <f t="shared" ca="1" si="29"/>
        <v>9.5023495827698579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3436205</v>
      </c>
      <c r="M37" s="54">
        <f t="shared" ca="1" si="33"/>
        <v>1921155</v>
      </c>
      <c r="N37" s="54">
        <f t="shared" ca="1" si="33"/>
        <v>1534293</v>
      </c>
      <c r="O37" s="55">
        <f t="shared" ca="1" si="29"/>
        <v>44.650799355684541</v>
      </c>
      <c r="P37" s="55">
        <f t="shared" ca="1" si="25"/>
        <v>79.863051133302619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448100</v>
      </c>
      <c r="N41" s="78">
        <f t="shared" ca="1" si="34"/>
        <v>418589</v>
      </c>
      <c r="O41" s="77">
        <f t="shared" ref="O41:O43" ca="1" si="35">IF(L41&gt;0,N41*100/L41,0)</f>
        <v>51.569422200320318</v>
      </c>
      <c r="P41" s="77">
        <f t="shared" ref="P41:P43" ca="1" si="36">IF(M41&gt;0,N41*100/M41,0)</f>
        <v>93.414193260432938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448100</v>
      </c>
      <c r="N43" s="78">
        <f t="shared" ca="1" si="38"/>
        <v>418589</v>
      </c>
      <c r="O43" s="77">
        <f t="shared" ca="1" si="35"/>
        <v>51.569422200320318</v>
      </c>
      <c r="P43" s="77">
        <f t="shared" ca="1" si="36"/>
        <v>93.414193260432938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533">
        <f ca="1">IFERROR(__xludf.DUMMYFUNCTION("IMPORTRANGE(""https://docs.google.com/spreadsheets/d/1Yj_ptqi66GCucihVvJfMjLAmec39IyEx_6qawtMGysU/edit?usp=sharing"",""สบก!Q49"")"),363500)</f>
        <v>363500</v>
      </c>
      <c r="N45" s="533">
        <f ca="1">IFERROR(__xludf.DUMMYFUNCTION("IMPORTRANGE(""https://docs.google.com/spreadsheets/d/1Yj_ptqi66GCucihVvJfMjLAmec39IyEx_6qawtMGysU/edit?usp=sharing"",""สบก!R49"")"),333989)</f>
        <v>333989</v>
      </c>
      <c r="O45" s="534">
        <f ca="1">IF(L45&gt;0,N45*100/L45,0)</f>
        <v>45.934396919268323</v>
      </c>
      <c r="P45" s="534">
        <f ca="1">IF(M45&gt;0,N45*100/M45,0)</f>
        <v>91.881430536451163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IFERROR(__xludf.DUMMYFUNCTION("IMPORTRANGE(""https://docs.google.com/spreadsheets/d/1Yj_ptqi66GCucihVvJfMjLAmec39IyEx_6qawtMGysU/edit?usp=sharing"",""สบก!M49"")"),727100)</f>
        <v>727100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IFERROR(__xludf.DUMMYFUNCTION("IMPORTRANGE(""https://docs.google.com/spreadsheets/d/1Yj_ptqi66GCucihVvJfMjLAmec39IyEx_6qawtMGysU/edit?usp=sharing"",""สบก!N49"")"),0)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IFERROR(__xludf.DUMMYFUNCTION("IMPORTRANGE(""https://docs.google.com/spreadsheets/d/1Yj_ptqi66GCucihVvJfMjLAmec39IyEx_6qawtMGysU/edit?usp=sharing"",""สบก!O49"")"),84600)</f>
        <v>84600</v>
      </c>
      <c r="M49" s="536">
        <f ca="1">L49</f>
        <v>84600</v>
      </c>
      <c r="N49" s="533">
        <f ca="1">IFERROR(__xludf.DUMMYFUNCTION("IMPORTRANGE(""https://docs.google.com/spreadsheets/d/1Yj_ptqi66GCucihVvJfMjLAmec39IyEx_6qawtMGysU/edit?usp=sharing"",""สบก!S49"")"),84600)</f>
        <v>84600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407100</v>
      </c>
      <c r="N53" s="121">
        <f t="shared" ca="1" si="39"/>
        <v>272504</v>
      </c>
      <c r="O53" s="120">
        <f t="shared" ref="O53:O55" ca="1" si="40">IF(L53&gt;0,N53*100/L53,0)</f>
        <v>34.616869918699187</v>
      </c>
      <c r="P53" s="120">
        <f t="shared" ref="P53:P55" ca="1" si="41">IF(M53&gt;0,N53*100/M53,0)</f>
        <v>66.937853107344637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407100</v>
      </c>
      <c r="N55" s="121">
        <f t="shared" ca="1" si="43"/>
        <v>272504</v>
      </c>
      <c r="O55" s="120">
        <f t="shared" ca="1" si="40"/>
        <v>34.616869918699187</v>
      </c>
      <c r="P55" s="120">
        <f t="shared" ca="1" si="41"/>
        <v>66.937853107344637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533">
        <f ca="1">IFERROR(__xludf.DUMMYFUNCTION("IMPORTRANGE(""https://docs.google.com/spreadsheets/d/1Yj_ptqi66GCucihVvJfMjLAmec39IyEx_6qawtMGysU/edit?usp=sharing"",""สบก!Z49"")"),407100)</f>
        <v>407100</v>
      </c>
      <c r="N57" s="533">
        <f ca="1">IFERROR(__xludf.DUMMYFUNCTION("IMPORTRANGE(""https://docs.google.com/spreadsheets/d/1Yj_ptqi66GCucihVvJfMjLAmec39IyEx_6qawtMGysU/edit?usp=sharing"",""สบก!AA49"")"),272504)</f>
        <v>272504</v>
      </c>
      <c r="O57" s="534">
        <f ca="1">IF(L57&gt;0,N57*100/L57,0)</f>
        <v>34.616869918699187</v>
      </c>
      <c r="P57" s="534">
        <f ca="1">IF(M57&gt;0,N57*100/M57,0)</f>
        <v>66.937853107344637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IFERROR(__xludf.DUMMYFUNCTION("IMPORTRANGE(""https://docs.google.com/spreadsheets/d/1Yj_ptqi66GCucihVvJfMjLAmec39IyEx_6qawtMGysU/edit?usp=sharing"",""สบก!V49"")"),787200)</f>
        <v>787200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IFERROR(__xludf.DUMMYFUNCTION("IMPORTRANGE(""https://docs.google.com/spreadsheets/d/1Yj_ptqi66GCucihVvJfMjLAmec39IyEx_6qawtMGysU/edit?usp=sharing"",""สบก!W49"")"),0)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IFERROR(__xludf.DUMMYFUNCTION("IMPORTRANGE(""https://docs.google.com/spreadsheets/d/1Yj_ptqi66GCucihVvJfMjLAmec39IyEx_6qawtMGysU/edit?usp=sharing"",""สบก!X49"")"),0)</f>
        <v>0</v>
      </c>
      <c r="M61" s="536"/>
      <c r="N61" s="533">
        <f ca="1">IFERROR(__xludf.DUMMYFUNCTION("IMPORTRANGE(""https://docs.google.com/spreadsheets/d/1Yj_ptqi66GCucihVvJfMjLAmec39IyEx_6qawtMGysU/edit?usp=sharing"",""สบก!AB49"")"),0)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537">
        <f ca="1">IFERROR(__xludf.DUMMYFUNCTION("IMPORTRANGE(""https://docs.google.com/spreadsheets/d/1Yj_ptqi66GCucihVvJfMjLAmec39IyEx_6qawtMGysU/edit?usp=sharing"",""สบก!AI49"")"),0)</f>
        <v>0</v>
      </c>
      <c r="N70" s="538">
        <f ca="1">IFERROR(__xludf.DUMMYFUNCTION("IMPORTRANGE(""https://docs.google.com/spreadsheets/d/1Yj_ptqi66GCucihVvJfMjLAmec39IyEx_6qawtMGysU/edit?usp=sharing"",""สบก!AJ49"")"),0)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IFERROR(__xludf.DUMMYFUNCTION("IMPORTRANGE(""https://docs.google.com/spreadsheets/d/1Yj_ptqi66GCucihVvJfMjLAmec39IyEx_6qawtMGysU/edit?usp=sharing"",""สบก!AE49"")"),0)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IFERROR(__xludf.DUMMYFUNCTION("IMPORTRANGE(""https://docs.google.com/spreadsheets/d/1Yj_ptqi66GCucihVvJfMjLAmec39IyEx_6qawtMGysU/edit?usp=sharing"",""สบก!AF49"")"),0)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IFERROR(__xludf.DUMMYFUNCTION("IMPORTRANGE(""https://docs.google.com/spreadsheets/d/1Yj_ptqi66GCucihVvJfMjLAmec39IyEx_6qawtMGysU/edit?usp=sharing"",""สบก!AG49"")"),0)</f>
        <v>0</v>
      </c>
      <c r="M74" s="536"/>
      <c r="N74" s="533">
        <f ca="1">IFERROR(__xludf.DUMMYFUNCTION("IMPORTRANGE(""https://docs.google.com/spreadsheets/d/1Yj_ptqi66GCucihVvJfMjLAmec39IyEx_6qawtMGysU/edit?usp=sharing"",""สบก!AK49"")"),0)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IFERROR(__xludf.DUMMYFUNCTION("IMPORTRANGE(""https://docs.google.com/spreadsheets/d/1XL5vhW3sbDhbH9Cz0tuDiY8C3ctxq1tqvaCgkFb8cCA/edit?usp=sharing"",""เลย!J16"")"),0)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IFERROR(__xludf.DUMMYFUNCTION("IMPORTRANGE(""https://docs.google.com/spreadsheets/d/1XL5vhW3sbDhbH9Cz0tuDiY8C3ctxq1tqvaCgkFb8cCA/edit?usp=sharing"",""เลย!J17"")"),0)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IFERROR(__xludf.DUMMYFUNCTION("IMPORTRANGE(""https://docs.google.com/spreadsheets/d/1XL5vhW3sbDhbH9Cz0tuDiY8C3ctxq1tqvaCgkFb8cCA/edit?usp=sharing"",""เลย!J18"")"),0)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IFERROR(__xludf.DUMMYFUNCTION("IMPORTRANGE(""https://docs.google.com/spreadsheets/d/1XL5vhW3sbDhbH9Cz0tuDiY8C3ctxq1tqvaCgkFb8cCA/edit?usp=sharing"",""เลย!J19"")"),0)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IFERROR(__xludf.DUMMYFUNCTION("IMPORTRANGE(""https://docs.google.com/spreadsheets/d/1XL5vhW3sbDhbH9Cz0tuDiY8C3ctxq1tqvaCgkFb8cCA/edit?usp=sharing"",""เลย!I20"")"),0)</f>
        <v>0</v>
      </c>
      <c r="J80" s="202">
        <f ca="1">IFERROR(__xludf.DUMMYFUNCTION("IMPORTRANGE(""https://docs.google.com/spreadsheets/d/1XL5vhW3sbDhbH9Cz0tuDiY8C3ctxq1tqvaCgkFb8cCA/edit?usp=sharing"",""เลย!J20"")"),0)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IFERROR(__xludf.DUMMYFUNCTION("IMPORTRANGE(""https://docs.google.com/spreadsheets/d/1XL5vhW3sbDhbH9Cz0tuDiY8C3ctxq1tqvaCgkFb8cCA/edit?usp=sharing"",""เลย!I21"")"),0)</f>
        <v>0</v>
      </c>
      <c r="J81" s="202">
        <f ca="1">IFERROR(__xludf.DUMMYFUNCTION("IMPORTRANGE(""https://docs.google.com/spreadsheets/d/1XL5vhW3sbDhbH9Cz0tuDiY8C3ctxq1tqvaCgkFb8cCA/edit?usp=sharing"",""เลย!J21"")"),0)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IFERROR(__xludf.DUMMYFUNCTION("IMPORTRANGE(""https://docs.google.com/spreadsheets/d/1XL5vhW3sbDhbH9Cz0tuDiY8C3ctxq1tqvaCgkFb8cCA/edit?usp=sharing"",""เลย!I22"")"),0)</f>
        <v>0</v>
      </c>
      <c r="J82" s="205">
        <f ca="1">IFERROR(__xludf.DUMMYFUNCTION("IMPORTRANGE(""https://docs.google.com/spreadsheets/d/1XL5vhW3sbDhbH9Cz0tuDiY8C3ctxq1tqvaCgkFb8cCA/edit?usp=sharing"",""เลย!J22"")"),0)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IFERROR(__xludf.DUMMYFUNCTION("IMPORTRANGE(""https://docs.google.com/spreadsheets/d/1XL5vhW3sbDhbH9Cz0tuDiY8C3ctxq1tqvaCgkFb8cCA/edit?usp=sharing"",""เลย!I23"")"),0)</f>
        <v>0</v>
      </c>
      <c r="J83" s="205">
        <f ca="1">IFERROR(__xludf.DUMMYFUNCTION("IMPORTRANGE(""https://docs.google.com/spreadsheets/d/1XL5vhW3sbDhbH9Cz0tuDiY8C3ctxq1tqvaCgkFb8cCA/edit?usp=sharing"",""เลย!J23"")"),0)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IFERROR(__xludf.DUMMYFUNCTION("IMPORTRANGE(""https://docs.google.com/spreadsheets/d/1XL5vhW3sbDhbH9Cz0tuDiY8C3ctxq1tqvaCgkFb8cCA/edit?usp=sharing"",""เลย!I24"")"),0)</f>
        <v>0</v>
      </c>
      <c r="J84" s="190">
        <f ca="1">IFERROR(__xludf.DUMMYFUNCTION("IMPORTRANGE(""https://docs.google.com/spreadsheets/d/1XL5vhW3sbDhbH9Cz0tuDiY8C3ctxq1tqvaCgkFb8cCA/edit?usp=sharing"",""เลย!J24"")"),0)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IFERROR(__xludf.DUMMYFUNCTION("IMPORTRANGE(""https://docs.google.com/spreadsheets/d/1XL5vhW3sbDhbH9Cz0tuDiY8C3ctxq1tqvaCgkFb8cCA/edit?usp=sharing"",""เลย!I25"")"),0)</f>
        <v>0</v>
      </c>
      <c r="J85" s="190">
        <f ca="1">IFERROR(__xludf.DUMMYFUNCTION("IMPORTRANGE(""https://docs.google.com/spreadsheets/d/1XL5vhW3sbDhbH9Cz0tuDiY8C3ctxq1tqvaCgkFb8cCA/edit?usp=sharing"",""เลย!J25"")"),0)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IFERROR(__xludf.DUMMYFUNCTION("IMPORTRANGE(""https://docs.google.com/spreadsheets/d/1XL5vhW3sbDhbH9Cz0tuDiY8C3ctxq1tqvaCgkFb8cCA/edit?usp=sharing"",""เลย!I26"")"),0)</f>
        <v>0</v>
      </c>
      <c r="J86" s="205">
        <f ca="1">IFERROR(__xludf.DUMMYFUNCTION("IMPORTRANGE(""https://docs.google.com/spreadsheets/d/1XL5vhW3sbDhbH9Cz0tuDiY8C3ctxq1tqvaCgkFb8cCA/edit?usp=sharing"",""เลย!J26"")"),0)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IFERROR(__xludf.DUMMYFUNCTION("IMPORTRANGE(""https://docs.google.com/spreadsheets/d/1XL5vhW3sbDhbH9Cz0tuDiY8C3ctxq1tqvaCgkFb8cCA/edit?usp=sharing"",""เลย!I27"")"),0)</f>
        <v>0</v>
      </c>
      <c r="J87" s="205">
        <f ca="1">IFERROR(__xludf.DUMMYFUNCTION("IMPORTRANGE(""https://docs.google.com/spreadsheets/d/1XL5vhW3sbDhbH9Cz0tuDiY8C3ctxq1tqvaCgkFb8cCA/edit?usp=sharing"",""เลย!J27"")"),0)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IFERROR(__xludf.DUMMYFUNCTION("IMPORTRANGE(""https://docs.google.com/spreadsheets/d/1XL5vhW3sbDhbH9Cz0tuDiY8C3ctxq1tqvaCgkFb8cCA/edit?usp=sharing"",""เลย!I28"")"),0)</f>
        <v>0</v>
      </c>
      <c r="J88" s="205">
        <f ca="1">IFERROR(__xludf.DUMMYFUNCTION("IMPORTRANGE(""https://docs.google.com/spreadsheets/d/1XL5vhW3sbDhbH9Cz0tuDiY8C3ctxq1tqvaCgkFb8cCA/edit?usp=sharing"",""เลย!J28"")"),0)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IFERROR(__xludf.DUMMYFUNCTION("IMPORTRANGE(""https://docs.google.com/spreadsheets/d/1XL5vhW3sbDhbH9Cz0tuDiY8C3ctxq1tqvaCgkFb8cCA/edit?usp=sharing"",""เลย!J29"")"),0)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IFERROR(__xludf.DUMMYFUNCTION("IMPORTRANGE(""https://docs.google.com/spreadsheets/d/1XL5vhW3sbDhbH9Cz0tuDiY8C3ctxq1tqvaCgkFb8cCA/edit?usp=sharing"",""เลย!J30"")"),0)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114436</v>
      </c>
      <c r="O94" s="151">
        <f t="shared" ref="O94:O96" ca="1" si="53">IF(L94&gt;0,N94*100/L94,0)</f>
        <v>53.350116550116553</v>
      </c>
      <c r="P94" s="151">
        <f t="shared" ref="P94:P96" ca="1" si="54">IF(M94&gt;0,N94*100/M94,0)</f>
        <v>71.020914789300562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114436</v>
      </c>
      <c r="O96" s="156">
        <f t="shared" ca="1" si="53"/>
        <v>53.350116550116553</v>
      </c>
      <c r="P96" s="156">
        <f t="shared" ca="1" si="54"/>
        <v>71.020914789300562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IFERROR(__xludf.DUMMYFUNCTION("IMPORTRANGE(""https://docs.google.com/spreadsheets/d/1Yj_ptqi66GCucihVvJfMjLAmec39IyEx_6qawtMGysU/edit?usp=sharing"",""สบก!AR49"")"),68730)</f>
        <v>68730</v>
      </c>
      <c r="N98" s="538">
        <f ca="1">IFERROR(__xludf.DUMMYFUNCTION("IMPORTRANGE(""https://docs.google.com/spreadsheets/d/1Yj_ptqi66GCucihVvJfMjLAmec39IyEx_6qawtMGysU/edit?usp=sharing"",""สบก!AS49"")"),22036)</f>
        <v>22036</v>
      </c>
      <c r="O98" s="170">
        <f ca="1">IF(L98&gt;0,N98*100/L98,0)</f>
        <v>18.047502047502046</v>
      </c>
      <c r="P98" s="170">
        <f ca="1">IF(M98&gt;0,N98*100/M98,0)</f>
        <v>32.061690673650517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IFERROR(__xludf.DUMMYFUNCTION("IMPORTRANGE(""https://docs.google.com/spreadsheets/d/1Yj_ptqi66GCucihVvJfMjLAmec39IyEx_6qawtMGysU/edit?usp=sharing"",""สบก!AN49"")"),0)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IFERROR(__xludf.DUMMYFUNCTION("IMPORTRANGE(""https://docs.google.com/spreadsheets/d/1Yj_ptqi66GCucihVvJfMjLAmec39IyEx_6qawtMGysU/edit?usp=sharing"",""สบก!AO49"")"),122100)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IFERROR(__xludf.DUMMYFUNCTION("IMPORTRANGE(""https://docs.google.com/spreadsheets/d/1Yj_ptqi66GCucihVvJfMjLAmec39IyEx_6qawtMGysU/edit?usp=sharing"",""สบก!AP49"")"),92400)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IFERROR(__xludf.DUMMYFUNCTION("IMPORTRANGE(""https://docs.google.com/spreadsheets/d/1Yj_ptqi66GCucihVvJfMjLAmec39IyEx_6qawtMGysU/edit?usp=sharing"",""สบก!AT49"")"),92400)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IFERROR(__xludf.DUMMYFUNCTION("IMPORTRANGE(""https://docs.google.com/spreadsheets/d/1XL5vhW3sbDhbH9Cz0tuDiY8C3ctxq1tqvaCgkFb8cCA/edit?usp=sharing"",""เลย!J39"")"),0)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IFERROR(__xludf.DUMMYFUNCTION("IMPORTRANGE(""https://docs.google.com/spreadsheets/d/1XL5vhW3sbDhbH9Cz0tuDiY8C3ctxq1tqvaCgkFb8cCA/edit?usp=sharing"",""เลย!J40"")"),1)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IFERROR(__xludf.DUMMYFUNCTION("IMPORTRANGE(""https://docs.google.com/spreadsheets/d/1XL5vhW3sbDhbH9Cz0tuDiY8C3ctxq1tqvaCgkFb8cCA/edit?usp=sharing"",""เลย!J41"")"),1)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IFERROR(__xludf.DUMMYFUNCTION("IMPORTRANGE(""https://docs.google.com/spreadsheets/d/1XL5vhW3sbDhbH9Cz0tuDiY8C3ctxq1tqvaCgkFb8cCA/edit?usp=sharing"",""เลย!J42"")"),1)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IFERROR(__xludf.DUMMYFUNCTION("IMPORTRANGE(""https://docs.google.com/spreadsheets/d/1XL5vhW3sbDhbH9Cz0tuDiY8C3ctxq1tqvaCgkFb8cCA/edit?usp=sharing"",""เลย!I43"")"),1)</f>
        <v>1</v>
      </c>
      <c r="J108" s="205">
        <f ca="1">IFERROR(__xludf.DUMMYFUNCTION("IMPORTRANGE(""https://docs.google.com/spreadsheets/d/1XL5vhW3sbDhbH9Cz0tuDiY8C3ctxq1tqvaCgkFb8cCA/edit?usp=sharing"",""เลย!J43"")"),0)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IFERROR(__xludf.DUMMYFUNCTION("IMPORTRANGE(""https://docs.google.com/spreadsheets/d/1XL5vhW3sbDhbH9Cz0tuDiY8C3ctxq1tqvaCgkFb8cCA/edit?usp=sharing"",""เลย!I44"")"),4)</f>
        <v>4</v>
      </c>
      <c r="J109" s="205">
        <f ca="1">IFERROR(__xludf.DUMMYFUNCTION("IMPORTRANGE(""https://docs.google.com/spreadsheets/d/1XL5vhW3sbDhbH9Cz0tuDiY8C3ctxq1tqvaCgkFb8cCA/edit?usp=sharing"",""เลย!J44"")"),0)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IFERROR(__xludf.DUMMYFUNCTION("IMPORTRANGE(""https://docs.google.com/spreadsheets/d/1XL5vhW3sbDhbH9Cz0tuDiY8C3ctxq1tqvaCgkFb8cCA/edit?usp=sharing"",""เลย!I45"")"),4)</f>
        <v>4</v>
      </c>
      <c r="J110" s="205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IFERROR(__xludf.DUMMYFUNCTION("IMPORTRANGE(""https://docs.google.com/spreadsheets/d/1XL5vhW3sbDhbH9Cz0tuDiY8C3ctxq1tqvaCgkFb8cCA/edit?usp=sharing"",""เลย!I46"")"),4)</f>
        <v>4</v>
      </c>
      <c r="J111" s="205">
        <f ca="1">IFERROR(__xludf.DUMMYFUNCTION("IMPORTRANGE(""https://docs.google.com/spreadsheets/d/1XL5vhW3sbDhbH9Cz0tuDiY8C3ctxq1tqvaCgkFb8cCA/edit?usp=sharing"",""เลย!J46"")"),0)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IFERROR(__xludf.DUMMYFUNCTION("IMPORTRANGE(""https://docs.google.com/spreadsheets/d/1XL5vhW3sbDhbH9Cz0tuDiY8C3ctxq1tqvaCgkFb8cCA/edit?usp=sharing"",""เลย!I47"")"),4)</f>
        <v>4</v>
      </c>
      <c r="J112" s="205">
        <f ca="1">IFERROR(__xludf.DUMMYFUNCTION("IMPORTRANGE(""https://docs.google.com/spreadsheets/d/1XL5vhW3sbDhbH9Cz0tuDiY8C3ctxq1tqvaCgkFb8cCA/edit?usp=sharing"",""เลย!J47"")"),0)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IFERROR(__xludf.DUMMYFUNCTION("IMPORTRANGE(""https://docs.google.com/spreadsheets/d/1XL5vhW3sbDhbH9Cz0tuDiY8C3ctxq1tqvaCgkFb8cCA/edit?usp=sharing"",""เลย!I48"")"),1)</f>
        <v>1</v>
      </c>
      <c r="J113" s="205">
        <f ca="1">IFERROR(__xludf.DUMMYFUNCTION("IMPORTRANGE(""https://docs.google.com/spreadsheets/d/1XL5vhW3sbDhbH9Cz0tuDiY8C3ctxq1tqvaCgkFb8cCA/edit?usp=sharing"",""เลย!J48"")"),0)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IFERROR(__xludf.DUMMYFUNCTION("IMPORTRANGE(""https://docs.google.com/spreadsheets/d/1XL5vhW3sbDhbH9Cz0tuDiY8C3ctxq1tqvaCgkFb8cCA/edit?usp=sharing"",""เลย!J49"")"),0)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IFERROR(__xludf.DUMMYFUNCTION("IMPORTRANGE(""https://docs.google.com/spreadsheets/d/1Yj_ptqi66GCucihVvJfMjLAmec39IyEx_6qawtMGysU/edit?usp=sharing"",""สบก!BA49"")"),0)</f>
        <v>0</v>
      </c>
      <c r="N122" s="538">
        <f ca="1">IFERROR(__xludf.DUMMYFUNCTION("IMPORTRANGE(""https://docs.google.com/spreadsheets/d/1Yj_ptqi66GCucihVvJfMjLAmec39IyEx_6qawtMGysU/edit?usp=sharing"",""สบก!BB49"")"),0)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IFERROR(__xludf.DUMMYFUNCTION("IMPORTRANGE(""https://docs.google.com/spreadsheets/d/1Yj_ptqi66GCucihVvJfMjLAmec39IyEx_6qawtMGysU/edit?usp=sharing"",""สบก!AW49"")"),0)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IFERROR(__xludf.DUMMYFUNCTION("IMPORTRANGE(""https://docs.google.com/spreadsheets/d/1Yj_ptqi66GCucihVvJfMjLAmec39IyEx_6qawtMGysU/edit?usp=sharing"",""สบก!AX49"")"),0)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IFERROR(__xludf.DUMMYFUNCTION("IMPORTRANGE(""https://docs.google.com/spreadsheets/d/1Yj_ptqi66GCucihVvJfMjLAmec39IyEx_6qawtMGysU/edit?usp=sharing"",""สบก!AY49"")"),0)</f>
        <v>0</v>
      </c>
      <c r="M126" s="536"/>
      <c r="N126" s="533">
        <f ca="1">IFERROR(__xludf.DUMMYFUNCTION("IMPORTRANGE(""https://docs.google.com/spreadsheets/d/1Yj_ptqi66GCucihVvJfMjLAmec39IyEx_6qawtMGysU/edit?usp=sharing"",""สบก!BC49"")"),0)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261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IFERROR(__xludf.DUMMYFUNCTION("IMPORTRANGE(""https://docs.google.com/spreadsheets/d/1XL5vhW3sbDhbH9Cz0tuDiY8C3ctxq1tqvaCgkFb8cCA/edit?usp=sharing"",""เลย!J58"")"),0)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IFERROR(__xludf.DUMMYFUNCTION("IMPORTRANGE(""https://docs.google.com/spreadsheets/d/1XL5vhW3sbDhbH9Cz0tuDiY8C3ctxq1tqvaCgkFb8cCA/edit?usp=sharing"",""เลย!J59"")"),0)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IFERROR(__xludf.DUMMYFUNCTION("IMPORTRANGE(""https://docs.google.com/spreadsheets/d/1XL5vhW3sbDhbH9Cz0tuDiY8C3ctxq1tqvaCgkFb8cCA/edit?usp=sharing"",""เลย!J60"")"),0)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IFERROR(__xludf.DUMMYFUNCTION("IMPORTRANGE(""https://docs.google.com/spreadsheets/d/1XL5vhW3sbDhbH9Cz0tuDiY8C3ctxq1tqvaCgkFb8cCA/edit?usp=sharing"",""เลย!J61"")"),0)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IFERROR(__xludf.DUMMYFUNCTION("IMPORTRANGE(""https://docs.google.com/spreadsheets/d/1XL5vhW3sbDhbH9Cz0tuDiY8C3ctxq1tqvaCgkFb8cCA/edit?usp=sharing"",""เลย!I62"")"),0)</f>
        <v>0</v>
      </c>
      <c r="J132" s="205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IFERROR(__xludf.DUMMYFUNCTION("IMPORTRANGE(""https://docs.google.com/spreadsheets/d/1XL5vhW3sbDhbH9Cz0tuDiY8C3ctxq1tqvaCgkFb8cCA/edit?usp=sharing"",""เลย!I63"")"),0)</f>
        <v>0</v>
      </c>
      <c r="J133" s="205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IFERROR(__xludf.DUMMYFUNCTION("IMPORTRANGE(""https://docs.google.com/spreadsheets/d/1XL5vhW3sbDhbH9Cz0tuDiY8C3ctxq1tqvaCgkFb8cCA/edit?usp=sharing"",""เลย!J64"")"),0)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581800</v>
      </c>
      <c r="M140" s="152">
        <f t="shared" ca="1" si="64"/>
        <v>304350</v>
      </c>
      <c r="N140" s="152">
        <f t="shared" ca="1" si="64"/>
        <v>235809</v>
      </c>
      <c r="O140" s="151">
        <f t="shared" ref="O140:O142" ca="1" si="65">IF(L140&gt;0,N140*100/L140,0)</f>
        <v>40.530938466827088</v>
      </c>
      <c r="P140" s="151">
        <f t="shared" ref="P140:P142" ca="1" si="66">IF(M140&gt;0,N140*100/M140,0)</f>
        <v>77.479546574667324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581800</v>
      </c>
      <c r="M142" s="157">
        <f t="shared" ca="1" si="68"/>
        <v>304350</v>
      </c>
      <c r="N142" s="157">
        <f t="shared" ca="1" si="68"/>
        <v>235809</v>
      </c>
      <c r="O142" s="156">
        <f t="shared" ca="1" si="65"/>
        <v>40.530938466827088</v>
      </c>
      <c r="P142" s="156">
        <f t="shared" ca="1" si="66"/>
        <v>77.479546574667324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581800</v>
      </c>
      <c r="M144" s="537">
        <f ca="1">IFERROR(__xludf.DUMMYFUNCTION("IMPORTRANGE(""https://docs.google.com/spreadsheets/d/1Yj_ptqi66GCucihVvJfMjLAmec39IyEx_6qawtMGysU/edit?usp=sharing"",""สบก!BJ49"")"),304350)</f>
        <v>304350</v>
      </c>
      <c r="N144" s="538">
        <f ca="1">IFERROR(__xludf.DUMMYFUNCTION("IMPORTRANGE(""https://docs.google.com/spreadsheets/d/1Yj_ptqi66GCucihVvJfMjLAmec39IyEx_6qawtMGysU/edit?usp=sharing"",""สบก!BK49"")"),235809)</f>
        <v>235809</v>
      </c>
      <c r="O144" s="170">
        <f ca="1">IF(L144&gt;0,N144*100/L144,0)</f>
        <v>40.530938466827088</v>
      </c>
      <c r="P144" s="170">
        <f ca="1">IF(M144&gt;0,N144*100/M144,0)</f>
        <v>77.479546574667324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IFERROR(__xludf.DUMMYFUNCTION("IMPORTRANGE(""https://docs.google.com/spreadsheets/d/1Yj_ptqi66GCucihVvJfMjLAmec39IyEx_6qawtMGysU/edit?usp=sharing"",""สบก!BF49"")"),459100)</f>
        <v>459100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IFERROR(__xludf.DUMMYFUNCTION("IMPORTRANGE(""https://docs.google.com/spreadsheets/d/1Yj_ptqi66GCucihVvJfMjLAmec39IyEx_6qawtMGysU/edit?usp=sharing"",""สบก!BG49"")"),122700)</f>
        <v>122700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IFERROR(__xludf.DUMMYFUNCTION("IMPORTRANGE(""https://docs.google.com/spreadsheets/d/1Yj_ptqi66GCucihVvJfMjLAmec39IyEx_6qawtMGysU/edit?usp=sharing"",""สบก!BH49"")"),0)</f>
        <v>0</v>
      </c>
      <c r="M148" s="536"/>
      <c r="N148" s="533">
        <f ca="1">IFERROR(__xludf.DUMMYFUNCTION("IMPORTRANGE(""https://docs.google.com/spreadsheets/d/1Yj_ptqi66GCucihVvJfMjLAmec39IyEx_6qawtMGysU/edit?usp=sharing"",""สบก!BL49"")"),0)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IFERROR(__xludf.DUMMYFUNCTION("IMPORTRANGE(""https://docs.google.com/spreadsheets/d/1XL5vhW3sbDhbH9Cz0tuDiY8C3ctxq1tqvaCgkFb8cCA/edit?usp=sharing"",""เลย!J79"")"),0)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IFERROR(__xludf.DUMMYFUNCTION("IMPORTRANGE(""https://docs.google.com/spreadsheets/d/1XL5vhW3sbDhbH9Cz0tuDiY8C3ctxq1tqvaCgkFb8cCA/edit?usp=sharing"",""เลย!J80"")"),1)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IFERROR(__xludf.DUMMYFUNCTION("IMPORTRANGE(""https://docs.google.com/spreadsheets/d/1XL5vhW3sbDhbH9Cz0tuDiY8C3ctxq1tqvaCgkFb8cCA/edit?usp=sharing"",""เลย!J81"")"),0)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IFERROR(__xludf.DUMMYFUNCTION("IMPORTRANGE(""https://docs.google.com/spreadsheets/d/1XL5vhW3sbDhbH9Cz0tuDiY8C3ctxq1tqvaCgkFb8cCA/edit?usp=sharing"",""เลย!J82"")"),0)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IFERROR(__xludf.DUMMYFUNCTION("IMPORTRANGE(""https://docs.google.com/spreadsheets/d/1XL5vhW3sbDhbH9Cz0tuDiY8C3ctxq1tqvaCgkFb8cCA/edit?usp=sharing"",""เลย!I83"")"),4)</f>
        <v>4</v>
      </c>
      <c r="J158" s="190">
        <f ca="1">IFERROR(__xludf.DUMMYFUNCTION("IMPORTRANGE(""https://docs.google.com/spreadsheets/d/1XL5vhW3sbDhbH9Cz0tuDiY8C3ctxq1tqvaCgkFb8cCA/edit?usp=sharing"",""เลย!J83"")"),1)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IFERROR(__xludf.DUMMYFUNCTION("IMPORTRANGE(""https://docs.google.com/spreadsheets/d/1XL5vhW3sbDhbH9Cz0tuDiY8C3ctxq1tqvaCgkFb8cCA/edit?usp=sharing"",""เลย!J84"")"),77)</f>
        <v>77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IFERROR(__xludf.DUMMYFUNCTION("IMPORTRANGE(""https://docs.google.com/spreadsheets/d/1XL5vhW3sbDhbH9Cz0tuDiY8C3ctxq1tqvaCgkFb8cCA/edit?usp=sharing"",""เลย!J85"")"),77)</f>
        <v>77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IFERROR(__xludf.DUMMYFUNCTION("IMPORTRANGE(""https://docs.google.com/spreadsheets/d/1XL5vhW3sbDhbH9Cz0tuDiY8C3ctxq1tqvaCgkFb8cCA/edit?usp=sharing"",""เลย!J86"")"),0)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IFERROR(__xludf.DUMMYFUNCTION("IMPORTRANGE(""https://docs.google.com/spreadsheets/d/1XL5vhW3sbDhbH9Cz0tuDiY8C3ctxq1tqvaCgkFb8cCA/edit?usp=sharing"",""เลย!J87"")"),0)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IFERROR(__xludf.DUMMYFUNCTION("IMPORTRANGE(""https://docs.google.com/spreadsheets/d/1XL5vhW3sbDhbH9Cz0tuDiY8C3ctxq1tqvaCgkFb8cCA/edit?usp=sharing"",""เลย!J88"")"),0)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IFERROR(__xludf.DUMMYFUNCTION("IMPORTRANGE(""https://docs.google.com/spreadsheets/d/1XL5vhW3sbDhbH9Cz0tuDiY8C3ctxq1tqvaCgkFb8cCA/edit?usp=sharing"",""เลย!I89"")"),2)</f>
        <v>2</v>
      </c>
      <c r="J164" s="284">
        <f ca="1">IFERROR(__xludf.DUMMYFUNCTION("IMPORTRANGE(""https://docs.google.com/spreadsheets/d/1XL5vhW3sbDhbH9Cz0tuDiY8C3ctxq1tqvaCgkFb8cCA/edit?usp=sharing"",""เลย!J89"")"),2)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IFERROR(__xludf.DUMMYFUNCTION("IMPORTRANGE(""https://docs.google.com/spreadsheets/d/1XL5vhW3sbDhbH9Cz0tuDiY8C3ctxq1tqvaCgkFb8cCA/edit?usp=sharing"",""เลย!J94"")"),0)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IFERROR(__xludf.DUMMYFUNCTION("IMPORTRANGE(""https://docs.google.com/spreadsheets/d/1XL5vhW3sbDhbH9Cz0tuDiY8C3ctxq1tqvaCgkFb8cCA/edit?usp=sharing"",""เลย!J95"")"),1)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IFERROR(__xludf.DUMMYFUNCTION("IMPORTRANGE(""https://docs.google.com/spreadsheets/d/1XL5vhW3sbDhbH9Cz0tuDiY8C3ctxq1tqvaCgkFb8cCA/edit?usp=sharing"",""เลย!J96"")"),1)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IFERROR(__xludf.DUMMYFUNCTION("IMPORTRANGE(""https://docs.google.com/spreadsheets/d/1XL5vhW3sbDhbH9Cz0tuDiY8C3ctxq1tqvaCgkFb8cCA/edit?usp=sharing"",""เลย!J97"")"),0)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IFERROR(__xludf.DUMMYFUNCTION("IMPORTRANGE(""https://docs.google.com/spreadsheets/d/1XL5vhW3sbDhbH9Cz0tuDiY8C3ctxq1tqvaCgkFb8cCA/edit?usp=sharing"",""เลย!I98"")"),2)</f>
        <v>2</v>
      </c>
      <c r="J173" s="190">
        <f ca="1">IFERROR(__xludf.DUMMYFUNCTION("IMPORTRANGE(""https://docs.google.com/spreadsheets/d/1XL5vhW3sbDhbH9Cz0tuDiY8C3ctxq1tqvaCgkFb8cCA/edit?usp=sharing"",""เลย!J98"")"),2)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IFERROR(__xludf.DUMMYFUNCTION("IMPORTRANGE(""https://docs.google.com/spreadsheets/d/1XL5vhW3sbDhbH9Cz0tuDiY8C3ctxq1tqvaCgkFb8cCA/edit?usp=sharing"",""เลย!J99"")"),0)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IFERROR(__xludf.DUMMYFUNCTION("IMPORTRANGE(""https://docs.google.com/spreadsheets/d/1XL5vhW3sbDhbH9Cz0tuDiY8C3ctxq1tqvaCgkFb8cCA/edit?usp=sharing"",""เลย!J100"")"),0)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IFERROR(__xludf.DUMMYFUNCTION("IMPORTRANGE(""https://docs.google.com/spreadsheets/d/1XL5vhW3sbDhbH9Cz0tuDiY8C3ctxq1tqvaCgkFb8cCA/edit?usp=sharing"",""เลย!I101"")"),2)</f>
        <v>2</v>
      </c>
      <c r="J176" s="284">
        <f ca="1">IFERROR(__xludf.DUMMYFUNCTION("IMPORTRANGE(""https://docs.google.com/spreadsheets/d/1XL5vhW3sbDhbH9Cz0tuDiY8C3ctxq1tqvaCgkFb8cCA/edit?usp=sharing"",""เลย!J101"")"),2)</f>
        <v>2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IFERROR(__xludf.DUMMYFUNCTION("IMPORTRANGE(""https://docs.google.com/spreadsheets/d/1XL5vhW3sbDhbH9Cz0tuDiY8C3ctxq1tqvaCgkFb8cCA/edit?usp=sharing"",""เลย!J106"")"),0)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IFERROR(__xludf.DUMMYFUNCTION("IMPORTRANGE(""https://docs.google.com/spreadsheets/d/1XL5vhW3sbDhbH9Cz0tuDiY8C3ctxq1tqvaCgkFb8cCA/edit?usp=sharing"",""เลย!J107"")"),1)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IFERROR(__xludf.DUMMYFUNCTION("IMPORTRANGE(""https://docs.google.com/spreadsheets/d/1XL5vhW3sbDhbH9Cz0tuDiY8C3ctxq1tqvaCgkFb8cCA/edit?usp=sharing"",""เลย!J108"")"),1)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IFERROR(__xludf.DUMMYFUNCTION("IMPORTRANGE(""https://docs.google.com/spreadsheets/d/1XL5vhW3sbDhbH9Cz0tuDiY8C3ctxq1tqvaCgkFb8cCA/edit?usp=sharing"",""เลย!J109"")"),1)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IFERROR(__xludf.DUMMYFUNCTION("IMPORTRANGE(""https://docs.google.com/spreadsheets/d/1XL5vhW3sbDhbH9Cz0tuDiY8C3ctxq1tqvaCgkFb8cCA/edit?usp=sharing"",""เลย!I110"")"),2)</f>
        <v>2</v>
      </c>
      <c r="J185" s="205">
        <f ca="1">IFERROR(__xludf.DUMMYFUNCTION("IMPORTRANGE(""https://docs.google.com/spreadsheets/d/1XL5vhW3sbDhbH9Cz0tuDiY8C3ctxq1tqvaCgkFb8cCA/edit?usp=sharing"",""เลย!J110"")"),0)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IFERROR(__xludf.DUMMYFUNCTION("IMPORTRANGE(""https://docs.google.com/spreadsheets/d/1XL5vhW3sbDhbH9Cz0tuDiY8C3ctxq1tqvaCgkFb8cCA/edit?usp=sharing"",""เลย!I111"")"),2)</f>
        <v>2</v>
      </c>
      <c r="J186" s="205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IFERROR(__xludf.DUMMYFUNCTION("IMPORTRANGE(""https://docs.google.com/spreadsheets/d/1XL5vhW3sbDhbH9Cz0tuDiY8C3ctxq1tqvaCgkFb8cCA/edit?usp=sharing"",""เลย!J112"")"),0)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IFERROR(__xludf.DUMMYFUNCTION("IMPORTRANGE(""https://docs.google.com/spreadsheets/d/1XL5vhW3sbDhbH9Cz0tuDiY8C3ctxq1tqvaCgkFb8cCA/edit?usp=sharing"",""เลย!I114"")"),128000)</f>
        <v>128000</v>
      </c>
      <c r="J189" s="284">
        <f ca="1">IFERROR(__xludf.DUMMYFUNCTION("IMPORTRANGE(""https://docs.google.com/spreadsheets/d/1XL5vhW3sbDhbH9Cz0tuDiY8C3ctxq1tqvaCgkFb8cCA/edit?usp=sharing"",""เลย!J114"")"),0)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IFERROR(__xludf.DUMMYFUNCTION("IMPORTRANGE(""https://docs.google.com/spreadsheets/d/1XL5vhW3sbDhbH9Cz0tuDiY8C3ctxq1tqvaCgkFb8cCA/edit?usp=sharing"",""เลย!J119"")"),0)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IFERROR(__xludf.DUMMYFUNCTION("IMPORTRANGE(""https://docs.google.com/spreadsheets/d/1XL5vhW3sbDhbH9Cz0tuDiY8C3ctxq1tqvaCgkFb8cCA/edit?usp=sharing"",""เลย!J120"")"),1)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IFERROR(__xludf.DUMMYFUNCTION("IMPORTRANGE(""https://docs.google.com/spreadsheets/d/1XL5vhW3sbDhbH9Cz0tuDiY8C3ctxq1tqvaCgkFb8cCA/edit?usp=sharing"",""เลย!J121"")"),1)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IFERROR(__xludf.DUMMYFUNCTION("IMPORTRANGE(""https://docs.google.com/spreadsheets/d/1XL5vhW3sbDhbH9Cz0tuDiY8C3ctxq1tqvaCgkFb8cCA/edit?usp=sharing"",""เลย!J122"")"),0)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IFERROR(__xludf.DUMMYFUNCTION("IMPORTRANGE(""https://docs.google.com/spreadsheets/d/1XL5vhW3sbDhbH9Cz0tuDiY8C3ctxq1tqvaCgkFb8cCA/edit?usp=sharing"",""เลย!I124"")"),128000)</f>
        <v>128000</v>
      </c>
      <c r="J199" s="190">
        <f ca="1">IFERROR(__xludf.DUMMYFUNCTION("IMPORTRANGE(""https://docs.google.com/spreadsheets/d/1XL5vhW3sbDhbH9Cz0tuDiY8C3ctxq1tqvaCgkFb8cCA/edit?usp=sharing"",""เลย!J124"")"),0)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IFERROR(__xludf.DUMMYFUNCTION("IMPORTRANGE(""https://docs.google.com/spreadsheets/d/1XL5vhW3sbDhbH9Cz0tuDiY8C3ctxq1tqvaCgkFb8cCA/edit?usp=sharing"",""เลย!I125"")"),128000)</f>
        <v>128000</v>
      </c>
      <c r="J200" s="190">
        <f ca="1">IFERROR(__xludf.DUMMYFUNCTION("IMPORTRANGE(""https://docs.google.com/spreadsheets/d/1XL5vhW3sbDhbH9Cz0tuDiY8C3ctxq1tqvaCgkFb8cCA/edit?usp=sharing"",""เลย!J125"")"),0)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IFERROR(__xludf.DUMMYFUNCTION("IMPORTRANGE(""https://docs.google.com/spreadsheets/d/1XL5vhW3sbDhbH9Cz0tuDiY8C3ctxq1tqvaCgkFb8cCA/edit?usp=sharing"",""เลย!I126"")"),15)</f>
        <v>15</v>
      </c>
      <c r="J201" s="190">
        <f ca="1">IFERROR(__xludf.DUMMYFUNCTION("IMPORTRANGE(""https://docs.google.com/spreadsheets/d/1XL5vhW3sbDhbH9Cz0tuDiY8C3ctxq1tqvaCgkFb8cCA/edit?usp=sharing"",""เลย!J126"")"),15)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IFERROR(__xludf.DUMMYFUNCTION("IMPORTRANGE(""https://docs.google.com/spreadsheets/d/1XL5vhW3sbDhbH9Cz0tuDiY8C3ctxq1tqvaCgkFb8cCA/edit?usp=sharing"",""เลย!J127"")"),0)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IFERROR(__xludf.DUMMYFUNCTION("IMPORTRANGE(""https://docs.google.com/spreadsheets/d/1XL5vhW3sbDhbH9Cz0tuDiY8C3ctxq1tqvaCgkFb8cCA/edit?usp=sharing"",""เลย!J128"")"),0)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IFERROR(__xludf.DUMMYFUNCTION("IMPORTRANGE(""https://docs.google.com/spreadsheets/d/1XL5vhW3sbDhbH9Cz0tuDiY8C3ctxq1tqvaCgkFb8cCA/edit?usp=sharing"",""เลย!I129"")"),0)</f>
        <v>0</v>
      </c>
      <c r="J204" s="284">
        <f ca="1">IFERROR(__xludf.DUMMYFUNCTION("IMPORTRANGE(""https://docs.google.com/spreadsheets/d/1XL5vhW3sbDhbH9Cz0tuDiY8C3ctxq1tqvaCgkFb8cCA/edit?usp=sharing"",""เลย!J129"")"),0)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IFERROR(__xludf.DUMMYFUNCTION("IMPORTRANGE(""https://docs.google.com/spreadsheets/d/1XL5vhW3sbDhbH9Cz0tuDiY8C3ctxq1tqvaCgkFb8cCA/edit?usp=sharing"",""เลย!J134"")"),0)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IFERROR(__xludf.DUMMYFUNCTION("IMPORTRANGE(""https://docs.google.com/spreadsheets/d/1XL5vhW3sbDhbH9Cz0tuDiY8C3ctxq1tqvaCgkFb8cCA/edit?usp=sharing"",""เลย!J135"")"),0)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IFERROR(__xludf.DUMMYFUNCTION("IMPORTRANGE(""https://docs.google.com/spreadsheets/d/1XL5vhW3sbDhbH9Cz0tuDiY8C3ctxq1tqvaCgkFb8cCA/edit?usp=sharing"",""เลย!J136"")"),0)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IFERROR(__xludf.DUMMYFUNCTION("IMPORTRANGE(""https://docs.google.com/spreadsheets/d/1XL5vhW3sbDhbH9Cz0tuDiY8C3ctxq1tqvaCgkFb8cCA/edit?usp=sharing"",""เลย!J137"")"),0)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IFERROR(__xludf.DUMMYFUNCTION("IMPORTRANGE(""https://docs.google.com/spreadsheets/d/1XL5vhW3sbDhbH9Cz0tuDiY8C3ctxq1tqvaCgkFb8cCA/edit?usp=sharing"",""เลย!I138"")"),0)</f>
        <v>0</v>
      </c>
      <c r="J213" s="205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IFERROR(__xludf.DUMMYFUNCTION("IMPORTRANGE(""https://docs.google.com/spreadsheets/d/1XL5vhW3sbDhbH9Cz0tuDiY8C3ctxq1tqvaCgkFb8cCA/edit?usp=sharing"",""เลย!I140"")"),0)</f>
        <v>0</v>
      </c>
      <c r="J215" s="205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IFERROR(__xludf.DUMMYFUNCTION("IMPORTRANGE(""https://docs.google.com/spreadsheets/d/1XL5vhW3sbDhbH9Cz0tuDiY8C3ctxq1tqvaCgkFb8cCA/edit?usp=sharing"",""เลย!I141"")"),0)</f>
        <v>0</v>
      </c>
      <c r="J216" s="205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IFERROR(__xludf.DUMMYFUNCTION("IMPORTRANGE(""https://docs.google.com/spreadsheets/d/1XL5vhW3sbDhbH9Cz0tuDiY8C3ctxq1tqvaCgkFb8cCA/edit?usp=sharing"",""เลย!J142"")"),0)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IFERROR(__xludf.DUMMYFUNCTION("IMPORTRANGE(""https://docs.google.com/spreadsheets/d/1Yj_ptqi66GCucihVvJfMjLAmec39IyEx_6qawtMGysU/edit?usp=sharing"",""สบก!BS49"")"),21125)</f>
        <v>21125</v>
      </c>
      <c r="N224" s="538">
        <f ca="1">IFERROR(__xludf.DUMMYFUNCTION("IMPORTRANGE(""https://docs.google.com/spreadsheets/d/1Yj_ptqi66GCucihVvJfMjLAmec39IyEx_6qawtMGysU/edit?usp=sharing"",""สบก!BT49"")"),20805)</f>
        <v>20805</v>
      </c>
      <c r="O224" s="170">
        <f ca="1">IF(L224&gt;0,N224*100/L224,0)</f>
        <v>98.485207100591722</v>
      </c>
      <c r="P224" s="170">
        <f ca="1">IF(M224&gt;0,N224*100/M224,0)</f>
        <v>98.485207100591722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IFERROR(__xludf.DUMMYFUNCTION("IMPORTRANGE(""https://docs.google.com/spreadsheets/d/1Yj_ptqi66GCucihVvJfMjLAmec39IyEx_6qawtMGysU/edit?usp=sharing"",""สบก!BO49"")"),0)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IFERROR(__xludf.DUMMYFUNCTION("IMPORTRANGE(""https://docs.google.com/spreadsheets/d/1Yj_ptqi66GCucihVvJfMjLAmec39IyEx_6qawtMGysU/edit?usp=sharing"",""สบก!BP49"")"),21125)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IFERROR(__xludf.DUMMYFUNCTION("IMPORTRANGE(""https://docs.google.com/spreadsheets/d/1Yj_ptqi66GCucihVvJfMjLAmec39IyEx_6qawtMGysU/edit?usp=sharing"",""สบก!BQ49"")"),0)</f>
        <v>0</v>
      </c>
      <c r="M228" s="536"/>
      <c r="N228" s="533">
        <f ca="1">IFERROR(__xludf.DUMMYFUNCTION("IMPORTRANGE(""https://docs.google.com/spreadsheets/d/1Yj_ptqi66GCucihVvJfMjLAmec39IyEx_6qawtMGysU/edit?usp=sharing"",""สบก!BU49"")"),0)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IFERROR(__xludf.DUMMYFUNCTION("IMPORTRANGE(""https://docs.google.com/spreadsheets/d/1XL5vhW3sbDhbH9Cz0tuDiY8C3ctxq1tqvaCgkFb8cCA/edit?usp=sharing"",""เลย!J151"")"),0)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IFERROR(__xludf.DUMMYFUNCTION("IMPORTRANGE(""https://docs.google.com/spreadsheets/d/1XL5vhW3sbDhbH9Cz0tuDiY8C3ctxq1tqvaCgkFb8cCA/edit?usp=sharing"",""เลย!J152"")"),1)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IFERROR(__xludf.DUMMYFUNCTION("IMPORTRANGE(""https://docs.google.com/spreadsheets/d/1XL5vhW3sbDhbH9Cz0tuDiY8C3ctxq1tqvaCgkFb8cCA/edit?usp=sharing"",""เลย!J153"")"),1)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IFERROR(__xludf.DUMMYFUNCTION("IMPORTRANGE(""https://docs.google.com/spreadsheets/d/1XL5vhW3sbDhbH9Cz0tuDiY8C3ctxq1tqvaCgkFb8cCA/edit?usp=sharing"",""เลย!J154"")"),1)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IFERROR(__xludf.DUMMYFUNCTION("IMPORTRANGE(""https://docs.google.com/spreadsheets/d/1XL5vhW3sbDhbH9Cz0tuDiY8C3ctxq1tqvaCgkFb8cCA/edit?usp=sharing"",""เลย!I155"")"),15)</f>
        <v>15</v>
      </c>
      <c r="J235" s="190">
        <f ca="1">IFERROR(__xludf.DUMMYFUNCTION("IMPORTRANGE(""https://docs.google.com/spreadsheets/d/1XL5vhW3sbDhbH9Cz0tuDiY8C3ctxq1tqvaCgkFb8cCA/edit?usp=sharing"",""เลย!J155"")"),15)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IFERROR(__xludf.DUMMYFUNCTION("IMPORTRANGE(""https://docs.google.com/spreadsheets/d/1XL5vhW3sbDhbH9Cz0tuDiY8C3ctxq1tqvaCgkFb8cCA/edit?usp=sharing"",""เลย!J156"")"),0)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IFERROR(__xludf.DUMMYFUNCTION("IMPORTRANGE(""https://docs.google.com/spreadsheets/d/1XL5vhW3sbDhbH9Cz0tuDiY8C3ctxq1tqvaCgkFb8cCA/edit?usp=sharing"",""เลย!J157"")"),0)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IFERROR(__xludf.DUMMYFUNCTION("IMPORTRANGE(""https://docs.google.com/spreadsheets/d/1XL5vhW3sbDhbH9Cz0tuDiY8C3ctxq1tqvaCgkFb8cCA/edit?usp=sharing"",""เลย!J159"")"),"")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IFERROR(__xludf.DUMMYFUNCTION("IMPORTRANGE(""https://docs.google.com/spreadsheets/d/1XL5vhW3sbDhbH9Cz0tuDiY8C3ctxq1tqvaCgkFb8cCA/edit?usp=sharing"",""เลย!J161"")"),0)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IFERROR(__xludf.DUMMYFUNCTION("IMPORTRANGE(""https://docs.google.com/spreadsheets/d/1XL5vhW3sbDhbH9Cz0tuDiY8C3ctxq1tqvaCgkFb8cCA/edit?usp=sharing"",""เลย!J162"")"),0)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IFERROR(__xludf.DUMMYFUNCTION("IMPORTRANGE(""https://docs.google.com/spreadsheets/d/1XL5vhW3sbDhbH9Cz0tuDiY8C3ctxq1tqvaCgkFb8cCA/edit?usp=sharing"",""เลย!J163"")"),0)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IFERROR(__xludf.DUMMYFUNCTION("IMPORTRANGE(""https://docs.google.com/spreadsheets/d/1XL5vhW3sbDhbH9Cz0tuDiY8C3ctxq1tqvaCgkFb8cCA/edit?usp=sharing"",""เลย!I164"")"),0)</f>
        <v>0</v>
      </c>
      <c r="J244" s="189">
        <f ca="1">IFERROR(__xludf.DUMMYFUNCTION("IMPORTRANGE(""https://docs.google.com/spreadsheets/d/1XL5vhW3sbDhbH9Cz0tuDiY8C3ctxq1tqvaCgkFb8cCA/edit?usp=sharing"",""เลย!J164"")"),0)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IFERROR(__xludf.DUMMYFUNCTION("IMPORTRANGE(""https://docs.google.com/spreadsheets/d/1XL5vhW3sbDhbH9Cz0tuDiY8C3ctxq1tqvaCgkFb8cCA/edit?usp=sharing"",""เลย!J165"")"),0)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IFERROR(__xludf.DUMMYFUNCTION("IMPORTRANGE(""https://docs.google.com/spreadsheets/d/1XL5vhW3sbDhbH9Cz0tuDiY8C3ctxq1tqvaCgkFb8cCA/edit?usp=sharing"",""เลย!I169"")"),0)</f>
        <v>0</v>
      </c>
      <c r="J249" s="316">
        <f ca="1">IFERROR(__xludf.DUMMYFUNCTION("IMPORTRANGE(""https://docs.google.com/spreadsheets/d/1XL5vhW3sbDhbH9Cz0tuDiY8C3ctxq1tqvaCgkFb8cCA/edit?usp=sharing"",""เลย!J169"")"),0)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IFERROR(__xludf.DUMMYFUNCTION("IMPORTRANGE(""https://docs.google.com/spreadsheets/d/1Yj_ptqi66GCucihVvJfMjLAmec39IyEx_6qawtMGysU/edit?usp=sharing"",""สบก!CB49"")"),0)</f>
        <v>0</v>
      </c>
      <c r="N254" s="538">
        <f ca="1">IFERROR(__xludf.DUMMYFUNCTION("IMPORTRANGE(""https://docs.google.com/spreadsheets/d/1Yj_ptqi66GCucihVvJfMjLAmec39IyEx_6qawtMGysU/edit?usp=sharing"",""สบก!CC49"")"),0)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IFERROR(__xludf.DUMMYFUNCTION("IMPORTRANGE(""https://docs.google.com/spreadsheets/d/1Yj_ptqi66GCucihVvJfMjLAmec39IyEx_6qawtMGysU/edit?usp=sharing"",""สบก!BX49"")"),0)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IFERROR(__xludf.DUMMYFUNCTION("IMPORTRANGE(""https://docs.google.com/spreadsheets/d/1Yj_ptqi66GCucihVvJfMjLAmec39IyEx_6qawtMGysU/edit?usp=sharing"",""สบก!BY49"")"),0)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IFERROR(__xludf.DUMMYFUNCTION("IMPORTRANGE(""https://docs.google.com/spreadsheets/d/1Yj_ptqi66GCucihVvJfMjLAmec39IyEx_6qawtMGysU/edit?usp=sharing"",""สบก!BZ49"")"),0)</f>
        <v>0</v>
      </c>
      <c r="M258" s="536"/>
      <c r="N258" s="533">
        <f ca="1">IFERROR(__xludf.DUMMYFUNCTION("IMPORTRANGE(""https://docs.google.com/spreadsheets/d/1Yj_ptqi66GCucihVvJfMjLAmec39IyEx_6qawtMGysU/edit?usp=sharing"",""สบก!CD49"")"),0)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IFERROR(__xludf.DUMMYFUNCTION("IMPORTRANGE(""https://docs.google.com/spreadsheets/d/1XL5vhW3sbDhbH9Cz0tuDiY8C3ctxq1tqvaCgkFb8cCA/edit?usp=sharing"",""เลย!J175"")"),0)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IFERROR(__xludf.DUMMYFUNCTION("IMPORTRANGE(""https://docs.google.com/spreadsheets/d/1XL5vhW3sbDhbH9Cz0tuDiY8C3ctxq1tqvaCgkFb8cCA/edit?usp=sharing"",""เลย!J176"")"),0)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IFERROR(__xludf.DUMMYFUNCTION("IMPORTRANGE(""https://docs.google.com/spreadsheets/d/1XL5vhW3sbDhbH9Cz0tuDiY8C3ctxq1tqvaCgkFb8cCA/edit?usp=sharing"",""เลย!J177"")"),0)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IFERROR(__xludf.DUMMYFUNCTION("IMPORTRANGE(""https://docs.google.com/spreadsheets/d/1XL5vhW3sbDhbH9Cz0tuDiY8C3ctxq1tqvaCgkFb8cCA/edit?usp=sharing"",""เลย!J178"")"),0)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IFERROR(__xludf.DUMMYFUNCTION("IMPORTRANGE(""https://docs.google.com/spreadsheets/d/1XL5vhW3sbDhbH9Cz0tuDiY8C3ctxq1tqvaCgkFb8cCA/edit?usp=sharing"",""เลย!I179"")"),0)</f>
        <v>0</v>
      </c>
      <c r="J264" s="190">
        <f ca="1">IFERROR(__xludf.DUMMYFUNCTION("IMPORTRANGE(""https://docs.google.com/spreadsheets/d/1XL5vhW3sbDhbH9Cz0tuDiY8C3ctxq1tqvaCgkFb8cCA/edit?usp=sharing"",""เลย!J179"")"),0)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IFERROR(__xludf.DUMMYFUNCTION("IMPORTRANGE(""https://docs.google.com/spreadsheets/d/1XL5vhW3sbDhbH9Cz0tuDiY8C3ctxq1tqvaCgkFb8cCA/edit?usp=sharing"",""เลย!I180"")"),0)</f>
        <v>0</v>
      </c>
      <c r="J265" s="190">
        <f ca="1">IFERROR(__xludf.DUMMYFUNCTION("IMPORTRANGE(""https://docs.google.com/spreadsheets/d/1XL5vhW3sbDhbH9Cz0tuDiY8C3ctxq1tqvaCgkFb8cCA/edit?usp=sharing"",""เลย!J180"")"),0)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IFERROR(__xludf.DUMMYFUNCTION("IMPORTRANGE(""https://docs.google.com/spreadsheets/d/1XL5vhW3sbDhbH9Cz0tuDiY8C3ctxq1tqvaCgkFb8cCA/edit?usp=sharing"",""เลย!I181"")"),0)</f>
        <v>0</v>
      </c>
      <c r="J266" s="190">
        <f ca="1">IFERROR(__xludf.DUMMYFUNCTION("IMPORTRANGE(""https://docs.google.com/spreadsheets/d/1XL5vhW3sbDhbH9Cz0tuDiY8C3ctxq1tqvaCgkFb8cCA/edit?usp=sharing"",""เลย!J181"")"),0)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IFERROR(__xludf.DUMMYFUNCTION("IMPORTRANGE(""https://docs.google.com/spreadsheets/d/1XL5vhW3sbDhbH9Cz0tuDiY8C3ctxq1tqvaCgkFb8cCA/edit?usp=sharing"",""เลย!I182"")"),0)</f>
        <v>0</v>
      </c>
      <c r="J267" s="190">
        <f ca="1">IFERROR(__xludf.DUMMYFUNCTION("IMPORTRANGE(""https://docs.google.com/spreadsheets/d/1XL5vhW3sbDhbH9Cz0tuDiY8C3ctxq1tqvaCgkFb8cCA/edit?usp=sharing"",""เลย!J182"")"),0)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IFERROR(__xludf.DUMMYFUNCTION("IMPORTRANGE(""https://docs.google.com/spreadsheets/d/1XL5vhW3sbDhbH9Cz0tuDiY8C3ctxq1tqvaCgkFb8cCA/edit?usp=sharing"",""เลย!J183"")"),0)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IFERROR(__xludf.DUMMYFUNCTION("IMPORTRANGE(""https://docs.google.com/spreadsheets/d/1XL5vhW3sbDhbH9Cz0tuDiY8C3ctxq1tqvaCgkFb8cCA/edit?usp=sharing"",""เลย!J184"")"),0)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IFERROR(__xludf.DUMMYFUNCTION("IMPORTRANGE(""https://docs.google.com/spreadsheets/d/1XL5vhW3sbDhbH9Cz0tuDiY8C3ctxq1tqvaCgkFb8cCA/edit?usp=sharing"",""เลย!I185"")"),15)</f>
        <v>15</v>
      </c>
      <c r="J270" s="316">
        <f ca="1">IFERROR(__xludf.DUMMYFUNCTION("IMPORTRANGE(""https://docs.google.com/spreadsheets/d/1XL5vhW3sbDhbH9Cz0tuDiY8C3ctxq1tqvaCgkFb8cCA/edit?usp=sharing"",""เลย!J185"")"),15)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26865</v>
      </c>
      <c r="O271" s="151">
        <f t="shared" ref="O271:O273" ca="1" si="84">IF(L271&gt;0,N271*100/L271,0)</f>
        <v>48.668478260869563</v>
      </c>
      <c r="P271" s="151">
        <f t="shared" ref="P271:P273" ca="1" si="85">IF(M271&gt;0,N271*100/M271,0)</f>
        <v>83.302325581395351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26865</v>
      </c>
      <c r="O273" s="156">
        <f t="shared" ca="1" si="84"/>
        <v>48.668478260869563</v>
      </c>
      <c r="P273" s="156">
        <f t="shared" ca="1" si="85"/>
        <v>83.302325581395351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IFERROR(__xludf.DUMMYFUNCTION("IMPORTRANGE(""https://docs.google.com/spreadsheets/d/1Yj_ptqi66GCucihVvJfMjLAmec39IyEx_6qawtMGysU/edit?usp=sharing"",""สบก!CK49"")"),32250)</f>
        <v>32250</v>
      </c>
      <c r="N275" s="538">
        <f ca="1">IFERROR(__xludf.DUMMYFUNCTION("IMPORTRANGE(""https://docs.google.com/spreadsheets/d/1Yj_ptqi66GCucihVvJfMjLAmec39IyEx_6qawtMGysU/edit?usp=sharing"",""สบก!CL49"")"),26865)</f>
        <v>26865</v>
      </c>
      <c r="O275" s="170">
        <f ca="1">IF(L275&gt;0,N275*100/L275,0)</f>
        <v>48.668478260869563</v>
      </c>
      <c r="P275" s="170">
        <f ca="1">IF(M275&gt;0,N275*100/M275,0)</f>
        <v>83.302325581395351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IFERROR(__xludf.DUMMYFUNCTION("IMPORTRANGE(""https://docs.google.com/spreadsheets/d/1Yj_ptqi66GCucihVvJfMjLAmec39IyEx_6qawtMGysU/edit?usp=sharing"",""สบก!CG49"")"),0)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IFERROR(__xludf.DUMMYFUNCTION("IMPORTRANGE(""https://docs.google.com/spreadsheets/d/1Yj_ptqi66GCucihVvJfMjLAmec39IyEx_6qawtMGysU/edit?usp=sharing"",""สบก!CH49"")"),55200)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IFERROR(__xludf.DUMMYFUNCTION("IMPORTRANGE(""https://docs.google.com/spreadsheets/d/1Yj_ptqi66GCucihVvJfMjLAmec39IyEx_6qawtMGysU/edit?usp=sharing"",""สบก!CI49"")"),0)</f>
        <v>0</v>
      </c>
      <c r="M279" s="536"/>
      <c r="N279" s="533">
        <f ca="1">IFERROR(__xludf.DUMMYFUNCTION("IMPORTRANGE(""https://docs.google.com/spreadsheets/d/1Yj_ptqi66GCucihVvJfMjLAmec39IyEx_6qawtMGysU/edit?usp=sharing"",""สบก!CM49"")"),0)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IFERROR(__xludf.DUMMYFUNCTION("IMPORTRANGE(""https://docs.google.com/spreadsheets/d/1XL5vhW3sbDhbH9Cz0tuDiY8C3ctxq1tqvaCgkFb8cCA/edit?usp=sharing"",""เลย!J191"")"),0)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IFERROR(__xludf.DUMMYFUNCTION("IMPORTRANGE(""https://docs.google.com/spreadsheets/d/1XL5vhW3sbDhbH9Cz0tuDiY8C3ctxq1tqvaCgkFb8cCA/edit?usp=sharing"",""เลย!J192"")"),1)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IFERROR(__xludf.DUMMYFUNCTION("IMPORTRANGE(""https://docs.google.com/spreadsheets/d/1XL5vhW3sbDhbH9Cz0tuDiY8C3ctxq1tqvaCgkFb8cCA/edit?usp=sharing"",""เลย!J193"")"),1)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IFERROR(__xludf.DUMMYFUNCTION("IMPORTRANGE(""https://docs.google.com/spreadsheets/d/1XL5vhW3sbDhbH9Cz0tuDiY8C3ctxq1tqvaCgkFb8cCA/edit?usp=sharing"",""เลย!J194"")"),0)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IFERROR(__xludf.DUMMYFUNCTION("IMPORTRANGE(""https://docs.google.com/spreadsheets/d/1XL5vhW3sbDhbH9Cz0tuDiY8C3ctxq1tqvaCgkFb8cCA/edit?usp=sharing"",""เลย!I195"")"),15)</f>
        <v>15</v>
      </c>
      <c r="J285" s="190">
        <f ca="1">IFERROR(__xludf.DUMMYFUNCTION("IMPORTRANGE(""https://docs.google.com/spreadsheets/d/1XL5vhW3sbDhbH9Cz0tuDiY8C3ctxq1tqvaCgkFb8cCA/edit?usp=sharing"",""เลย!J195"")"),15)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IFERROR(__xludf.DUMMYFUNCTION("IMPORTRANGE(""https://docs.google.com/spreadsheets/d/1XL5vhW3sbDhbH9Cz0tuDiY8C3ctxq1tqvaCgkFb8cCA/edit?usp=sharing"",""เลย!J196"")"),0)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IFERROR(__xludf.DUMMYFUNCTION("IMPORTRANGE(""https://docs.google.com/spreadsheets/d/1XL5vhW3sbDhbH9Cz0tuDiY8C3ctxq1tqvaCgkFb8cCA/edit?usp=sharing"",""เลย!J197"")"),0)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IFERROR(__xludf.DUMMYFUNCTION("IMPORTRANGE(""https://docs.google.com/spreadsheets/d/1XL5vhW3sbDhbH9Cz0tuDiY8C3ctxq1tqvaCgkFb8cCA/edit?usp=sharing"",""เลย!I199"")"),0)</f>
        <v>0</v>
      </c>
      <c r="J289" s="316">
        <f ca="1">IFERROR(__xludf.DUMMYFUNCTION("IMPORTRANGE(""https://docs.google.com/spreadsheets/d/1XL5vhW3sbDhbH9Cz0tuDiY8C3ctxq1tqvaCgkFb8cCA/edit?usp=sharing"",""เลย!J199"")"),0)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IFERROR(__xludf.DUMMYFUNCTION("IMPORTRANGE(""https://docs.google.com/spreadsheets/d/1Yj_ptqi66GCucihVvJfMjLAmec39IyEx_6qawtMGysU/edit?usp=sharing"",""สบก!CT49"")"),0)</f>
        <v>0</v>
      </c>
      <c r="N294" s="538">
        <f ca="1">IFERROR(__xludf.DUMMYFUNCTION("IMPORTRANGE(""https://docs.google.com/spreadsheets/d/1Yj_ptqi66GCucihVvJfMjLAmec39IyEx_6qawtMGysU/edit?usp=sharing"",""สบก!CU49"")"),0)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IFERROR(__xludf.DUMMYFUNCTION("IMPORTRANGE(""https://docs.google.com/spreadsheets/d/1Yj_ptqi66GCucihVvJfMjLAmec39IyEx_6qawtMGysU/edit?usp=sharing"",""สบก!CP49"")"),0)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IFERROR(__xludf.DUMMYFUNCTION("IMPORTRANGE(""https://docs.google.com/spreadsheets/d/1Yj_ptqi66GCucihVvJfMjLAmec39IyEx_6qawtMGysU/edit?usp=sharing"",""สบก!CQ49"")"),0)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IFERROR(__xludf.DUMMYFUNCTION("IMPORTRANGE(""https://docs.google.com/spreadsheets/d/1Yj_ptqi66GCucihVvJfMjLAmec39IyEx_6qawtMGysU/edit?usp=sharing"",""สบก!CR49"")"),0)</f>
        <v>0</v>
      </c>
      <c r="M298" s="536"/>
      <c r="N298" s="533">
        <f ca="1">IFERROR(__xludf.DUMMYFUNCTION("IMPORTRANGE(""https://docs.google.com/spreadsheets/d/1Yj_ptqi66GCucihVvJfMjLAmec39IyEx_6qawtMGysU/edit?usp=sharing"",""สบก!CV49"")"),0)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IFERROR(__xludf.DUMMYFUNCTION("IMPORTRANGE(""https://docs.google.com/spreadsheets/d/1XL5vhW3sbDhbH9Cz0tuDiY8C3ctxq1tqvaCgkFb8cCA/edit?usp=sharing"",""เลย!J205"")"),0)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IFERROR(__xludf.DUMMYFUNCTION("IMPORTRANGE(""https://docs.google.com/spreadsheets/d/1XL5vhW3sbDhbH9Cz0tuDiY8C3ctxq1tqvaCgkFb8cCA/edit?usp=sharing"",""เลย!J206"")"),0)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IFERROR(__xludf.DUMMYFUNCTION("IMPORTRANGE(""https://docs.google.com/spreadsheets/d/1XL5vhW3sbDhbH9Cz0tuDiY8C3ctxq1tqvaCgkFb8cCA/edit?usp=sharing"",""เลย!J207"")"),0)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IFERROR(__xludf.DUMMYFUNCTION("IMPORTRANGE(""https://docs.google.com/spreadsheets/d/1XL5vhW3sbDhbH9Cz0tuDiY8C3ctxq1tqvaCgkFb8cCA/edit?usp=sharing"",""เลย!J208"")"),0)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IFERROR(__xludf.DUMMYFUNCTION("IMPORTRANGE(""https://docs.google.com/spreadsheets/d/1XL5vhW3sbDhbH9Cz0tuDiY8C3ctxq1tqvaCgkFb8cCA/edit?usp=sharing"",""เลย!I209"")"),0)</f>
        <v>0</v>
      </c>
      <c r="J304" s="205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IFERROR(__xludf.DUMMYFUNCTION("IMPORTRANGE(""https://docs.google.com/spreadsheets/d/1XL5vhW3sbDhbH9Cz0tuDiY8C3ctxq1tqvaCgkFb8cCA/edit?usp=sharing"",""เลย!I211"")"),0)</f>
        <v>0</v>
      </c>
      <c r="J306" s="205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IFERROR(__xludf.DUMMYFUNCTION("IMPORTRANGE(""https://docs.google.com/spreadsheets/d/1XL5vhW3sbDhbH9Cz0tuDiY8C3ctxq1tqvaCgkFb8cCA/edit?usp=sharing"",""เลย!J212"")"),0)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IFERROR(__xludf.DUMMYFUNCTION("IMPORTRANGE(""https://docs.google.com/spreadsheets/d/1XL5vhW3sbDhbH9Cz0tuDiY8C3ctxq1tqvaCgkFb8cCA/edit?usp=sharing"",""เลย!J213"")"),0)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IFERROR(__xludf.DUMMYFUNCTION("IMPORTRANGE(""https://docs.google.com/spreadsheets/d/1XL5vhW3sbDhbH9Cz0tuDiY8C3ctxq1tqvaCgkFb8cCA/edit?usp=sharing"",""เลย!I214"")"),0)</f>
        <v>0</v>
      </c>
      <c r="J309" s="333">
        <f ca="1">IFERROR(__xludf.DUMMYFUNCTION("IMPORTRANGE(""https://docs.google.com/spreadsheets/d/1XL5vhW3sbDhbH9Cz0tuDiY8C3ctxq1tqvaCgkFb8cCA/edit?usp=sharing"",""เลย!J214"")"),0)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IFERROR(__xludf.DUMMYFUNCTION("IMPORTRANGE(""https://docs.google.com/spreadsheets/d/1Yj_ptqi66GCucihVvJfMjLAmec39IyEx_6qawtMGysU/edit?usp=sharing"",""สบก!DC49"")"),0)</f>
        <v>0</v>
      </c>
      <c r="N314" s="538">
        <f ca="1">IFERROR(__xludf.DUMMYFUNCTION("IMPORTRANGE(""https://docs.google.com/spreadsheets/d/1Yj_ptqi66GCucihVvJfMjLAmec39IyEx_6qawtMGysU/edit?usp=sharing"",""สบก!DD49"")"),0)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IFERROR(__xludf.DUMMYFUNCTION("IMPORTRANGE(""https://docs.google.com/spreadsheets/d/1Yj_ptqi66GCucihVvJfMjLAmec39IyEx_6qawtMGysU/edit?usp=sharing"",""สบก!CY49"")"),0)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IFERROR(__xludf.DUMMYFUNCTION("IMPORTRANGE(""https://docs.google.com/spreadsheets/d/1Yj_ptqi66GCucihVvJfMjLAmec39IyEx_6qawtMGysU/edit?usp=sharing"",""สบก!CZ49"")"),0)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IFERROR(__xludf.DUMMYFUNCTION("IMPORTRANGE(""https://docs.google.com/spreadsheets/d/1Yj_ptqi66GCucihVvJfMjLAmec39IyEx_6qawtMGysU/edit?usp=sharing"",""สบก!DA49"")"),0)</f>
        <v>0</v>
      </c>
      <c r="M318" s="536"/>
      <c r="N318" s="533">
        <f ca="1">IFERROR(__xludf.DUMMYFUNCTION("IMPORTRANGE(""https://docs.google.com/spreadsheets/d/1Yj_ptqi66GCucihVvJfMjLAmec39IyEx_6qawtMGysU/edit?usp=sharing"",""สบก!DE49"")"),0)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IFERROR(__xludf.DUMMYFUNCTION("IMPORTRANGE(""https://docs.google.com/spreadsheets/d/1XL5vhW3sbDhbH9Cz0tuDiY8C3ctxq1tqvaCgkFb8cCA/edit?usp=sharing"",""เลย!J220"")"),0)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IFERROR(__xludf.DUMMYFUNCTION("IMPORTRANGE(""https://docs.google.com/spreadsheets/d/1XL5vhW3sbDhbH9Cz0tuDiY8C3ctxq1tqvaCgkFb8cCA/edit?usp=sharing"",""เลย!J221"")"),0)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IFERROR(__xludf.DUMMYFUNCTION("IMPORTRANGE(""https://docs.google.com/spreadsheets/d/1XL5vhW3sbDhbH9Cz0tuDiY8C3ctxq1tqvaCgkFb8cCA/edit?usp=sharing"",""เลย!J222"")"),0)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IFERROR(__xludf.DUMMYFUNCTION("IMPORTRANGE(""https://docs.google.com/spreadsheets/d/1XL5vhW3sbDhbH9Cz0tuDiY8C3ctxq1tqvaCgkFb8cCA/edit?usp=sharing"",""เลย!J223"")"),0)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IFERROR(__xludf.DUMMYFUNCTION("IMPORTRANGE(""https://docs.google.com/spreadsheets/d/1XL5vhW3sbDhbH9Cz0tuDiY8C3ctxq1tqvaCgkFb8cCA/edit?usp=sharing"",""เลย!I224"")"),0)</f>
        <v>0</v>
      </c>
      <c r="J324" s="205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IFERROR(__xludf.DUMMYFUNCTION("IMPORTRANGE(""https://docs.google.com/spreadsheets/d/1XL5vhW3sbDhbH9Cz0tuDiY8C3ctxq1tqvaCgkFb8cCA/edit?usp=sharing"",""เลย!J225"")"),0)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IFERROR(__xludf.DUMMYFUNCTION("IMPORTRANGE(""https://docs.google.com/spreadsheets/d/1XL5vhW3sbDhbH9Cz0tuDiY8C3ctxq1tqvaCgkFb8cCA/edit?usp=sharing"",""เลย!I228"")"),410)</f>
        <v>410</v>
      </c>
      <c r="J328" s="339">
        <f ca="1">IFERROR(__xludf.DUMMYFUNCTION("IMPORTRANGE(""https://docs.google.com/spreadsheets/d/1XL5vhW3sbDhbH9Cz0tuDiY8C3ctxq1tqvaCgkFb8cCA/edit?usp=sharing"",""เลย!J228"")"),363)</f>
        <v>363</v>
      </c>
      <c r="K328" s="317">
        <f ca="1">IF(I328&gt;0,J328*100/I328,0)</f>
        <v>88.536585365853654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964680</v>
      </c>
      <c r="M329" s="152">
        <f t="shared" ca="1" si="98"/>
        <v>547100</v>
      </c>
      <c r="N329" s="152">
        <f t="shared" ca="1" si="98"/>
        <v>445285</v>
      </c>
      <c r="O329" s="151">
        <f t="shared" ref="O329:O331" ca="1" si="99">IF(L329&gt;0,N329*100/L329,0)</f>
        <v>46.15882987104532</v>
      </c>
      <c r="P329" s="151">
        <f t="shared" ref="P329:P331" ca="1" si="100">IF(M329&gt;0,N329*100/M329,0)</f>
        <v>81.390056662401761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964680</v>
      </c>
      <c r="M331" s="157">
        <f t="shared" ca="1" si="102"/>
        <v>547100</v>
      </c>
      <c r="N331" s="157">
        <f t="shared" ca="1" si="102"/>
        <v>445285</v>
      </c>
      <c r="O331" s="156">
        <f t="shared" ca="1" si="99"/>
        <v>46.15882987104532</v>
      </c>
      <c r="P331" s="156">
        <f t="shared" ca="1" si="100"/>
        <v>81.390056662401761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964680</v>
      </c>
      <c r="M333" s="537">
        <f ca="1">IFERROR(__xludf.DUMMYFUNCTION("IMPORTRANGE(""https://docs.google.com/spreadsheets/d/1Yj_ptqi66GCucihVvJfMjLAmec39IyEx_6qawtMGysU/edit?usp=sharing"",""สบก!DL49"")"),547100)</f>
        <v>547100</v>
      </c>
      <c r="N333" s="538">
        <f ca="1">IFERROR(__xludf.DUMMYFUNCTION("IMPORTRANGE(""https://docs.google.com/spreadsheets/d/1Yj_ptqi66GCucihVvJfMjLAmec39IyEx_6qawtMGysU/edit?usp=sharing"",""สบก!DM49"")"),445285)</f>
        <v>445285</v>
      </c>
      <c r="O333" s="170">
        <f ca="1">IF(L333&gt;0,N333*100/L333,0)</f>
        <v>46.15882987104532</v>
      </c>
      <c r="P333" s="170">
        <f ca="1">IF(M333&gt;0,N333*100/M333,0)</f>
        <v>81.390056662401761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IFERROR(__xludf.DUMMYFUNCTION("IMPORTRANGE(""https://docs.google.com/spreadsheets/d/1Yj_ptqi66GCucihVvJfMjLAmec39IyEx_6qawtMGysU/edit?usp=sharing"",""สบก!DH49"")"),306000)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IFERROR(__xludf.DUMMYFUNCTION("IMPORTRANGE(""https://docs.google.com/spreadsheets/d/1Yj_ptqi66GCucihVvJfMjLAmec39IyEx_6qawtMGysU/edit?usp=sharing"",""สบก!DI49"")"),658680)</f>
        <v>658680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IFERROR(__xludf.DUMMYFUNCTION("IMPORTRANGE(""https://docs.google.com/spreadsheets/d/1Yj_ptqi66GCucihVvJfMjLAmec39IyEx_6qawtMGysU/edit?usp=sharing"",""สบก!DJ49"")"),0)</f>
        <v>0</v>
      </c>
      <c r="M337" s="536"/>
      <c r="N337" s="533">
        <f ca="1">IFERROR(__xludf.DUMMYFUNCTION("IMPORTRANGE(""https://docs.google.com/spreadsheets/d/1Yj_ptqi66GCucihVvJfMjLAmec39IyEx_6qawtMGysU/edit?usp=sharing"",""สบก!DN49"")"),0)</f>
        <v>0</v>
      </c>
      <c r="O337" s="536">
        <f ca="1">IF(L337&gt;0,N337*100/L337,0)</f>
        <v>0</v>
      </c>
      <c r="P337" s="536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IFERROR(__xludf.DUMMYFUNCTION("IMPORTRANGE(""https://docs.google.com/spreadsheets/d/1XL5vhW3sbDhbH9Cz0tuDiY8C3ctxq1tqvaCgkFb8cCA/edit?usp=sharing"",""เลย!I234"")"),0)</f>
        <v>0</v>
      </c>
      <c r="J339" s="189">
        <f ca="1">IFERROR(__xludf.DUMMYFUNCTION("IMPORTRANGE(""https://docs.google.com/spreadsheets/d/1XL5vhW3sbDhbH9Cz0tuDiY8C3ctxq1tqvaCgkFb8cCA/edit?usp=sharing"",""เลย!J234"")"),144)</f>
        <v>144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IFERROR(__xludf.DUMMYFUNCTION("IMPORTRANGE(""https://docs.google.com/spreadsheets/d/1XL5vhW3sbDhbH9Cz0tuDiY8C3ctxq1tqvaCgkFb8cCA/edit?usp=sharing"",""เลย!I235"")"),4040)</f>
        <v>4040</v>
      </c>
      <c r="J340" s="189">
        <f ca="1">IFERROR(__xludf.DUMMYFUNCTION("IMPORTRANGE(""https://docs.google.com/spreadsheets/d/1XL5vhW3sbDhbH9Cz0tuDiY8C3ctxq1tqvaCgkFb8cCA/edit?usp=sharing"",""เลย!J235"")"),1558.93)</f>
        <v>1558.93</v>
      </c>
      <c r="K340" s="342">
        <f t="shared" ca="1" si="103"/>
        <v>38.587376237623765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IFERROR(__xludf.DUMMYFUNCTION("IMPORTRANGE(""https://docs.google.com/spreadsheets/d/1XL5vhW3sbDhbH9Cz0tuDiY8C3ctxq1tqvaCgkFb8cCA/edit?usp=sharing"",""เลย!I236"")"),410)</f>
        <v>410</v>
      </c>
      <c r="J341" s="189">
        <f ca="1">IFERROR(__xludf.DUMMYFUNCTION("IMPORTRANGE(""https://docs.google.com/spreadsheets/d/1XL5vhW3sbDhbH9Cz0tuDiY8C3ctxq1tqvaCgkFb8cCA/edit?usp=sharing"",""เลย!J236"")"),357)</f>
        <v>357</v>
      </c>
      <c r="K341" s="342">
        <f t="shared" ca="1" si="103"/>
        <v>87.073170731707322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9">
        <f ca="1">IFERROR(__xludf.DUMMYFUNCTION("IMPORTRANGE(""https://docs.google.com/spreadsheets/d/1XL5vhW3sbDhbH9Cz0tuDiY8C3ctxq1tqvaCgkFb8cCA/edit?usp=sharing"",""เลย!J237"")"),5110.13)</f>
        <v>5110.13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IFERROR(__xludf.DUMMYFUNCTION("IMPORTRANGE(""https://docs.google.com/spreadsheets/d/1XL5vhW3sbDhbH9Cz0tuDiY8C3ctxq1tqvaCgkFb8cCA/edit?usp=sharing"",""เลย!I238"")"),410)</f>
        <v>410</v>
      </c>
      <c r="J343" s="189">
        <f ca="1">IFERROR(__xludf.DUMMYFUNCTION("IMPORTRANGE(""https://docs.google.com/spreadsheets/d/1XL5vhW3sbDhbH9Cz0tuDiY8C3ctxq1tqvaCgkFb8cCA/edit?usp=sharing"",""เลย!J238"")"),2)</f>
        <v>2</v>
      </c>
      <c r="K343" s="342">
        <f t="shared" ca="1" si="103"/>
        <v>0.48780487804878048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9">
        <f ca="1">IFERROR(__xludf.DUMMYFUNCTION("IMPORTRANGE(""https://docs.google.com/spreadsheets/d/1XL5vhW3sbDhbH9Cz0tuDiY8C3ctxq1tqvaCgkFb8cCA/edit?usp=sharing"",""เลย!J239"")"),27.14)</f>
        <v>27.14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IFERROR(__xludf.DUMMYFUNCTION("IMPORTRANGE(""https://docs.google.com/spreadsheets/d/1XL5vhW3sbDhbH9Cz0tuDiY8C3ctxq1tqvaCgkFb8cCA/edit?usp=sharing"",""เลย!I240"")"),410)</f>
        <v>410</v>
      </c>
      <c r="J345" s="189">
        <f ca="1">IFERROR(__xludf.DUMMYFUNCTION("IMPORTRANGE(""https://docs.google.com/spreadsheets/d/1XL5vhW3sbDhbH9Cz0tuDiY8C3ctxq1tqvaCgkFb8cCA/edit?usp=sharing"",""เลย!J240"")"),363)</f>
        <v>363</v>
      </c>
      <c r="K345" s="342">
        <f t="shared" ca="1" si="103"/>
        <v>88.536585365853654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9">
        <f ca="1">IFERROR(__xludf.DUMMYFUNCTION("IMPORTRANGE(""https://docs.google.com/spreadsheets/d/1XL5vhW3sbDhbH9Cz0tuDiY8C3ctxq1tqvaCgkFb8cCA/edit?usp=sharing"",""เลย!J241"")"),5223.17)</f>
        <v>5223.17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IFERROR(__xludf.DUMMYFUNCTION("IMPORTRANGE(""https://docs.google.com/spreadsheets/d/1XL5vhW3sbDhbH9Cz0tuDiY8C3ctxq1tqvaCgkFb8cCA/edit?usp=sharing"",""เลย!L242"")"),3027346)</f>
        <v>3027346</v>
      </c>
      <c r="M347" s="358"/>
      <c r="N347" s="358">
        <f ca="1">IFERROR(__xludf.DUMMYFUNCTION("IMPORTRANGE(""https://docs.google.com/spreadsheets/d/1XL5vhW3sbDhbH9Cz0tuDiY8C3ctxq1tqvaCgkFb8cCA/edit?usp=sharing"",""เลย!M242"")"),287669)</f>
        <v>287669</v>
      </c>
      <c r="O347" s="358">
        <f ca="1">+IF(L347&gt;0,N347*100/L347,0)</f>
        <v>9.5023495827698579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IFERROR(__xludf.DUMMYFUNCTION("IMPORTRANGE(""https://docs.google.com/spreadsheets/d/1XL5vhW3sbDhbH9Cz0tuDiY8C3ctxq1tqvaCgkFb8cCA/edit?usp=sharing"",""เลย!M244"")"),45089)</f>
        <v>45089</v>
      </c>
      <c r="O349" s="373">
        <f ca="1">+IF(L349&gt;0,N349*100/L349,0)</f>
        <v>8.8465311568042697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IFERROR(__xludf.DUMMYFUNCTION("IMPORTRANGE(""https://docs.google.com/spreadsheets/d/1XL5vhW3sbDhbH9Cz0tuDiY8C3ctxq1tqvaCgkFb8cCA/edit?usp=sharing"",""เลย!L246"")"),0)</f>
        <v>0</v>
      </c>
      <c r="M351" s="166"/>
      <c r="N351" s="166">
        <f ca="1">IFERROR(__xludf.DUMMYFUNCTION("IMPORTRANGE(""https://docs.google.com/spreadsheets/d/1XL5vhW3sbDhbH9Cz0tuDiY8C3ctxq1tqvaCgkFb8cCA/edit?usp=sharing"",""เลย!M246"")"),0)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IFERROR(__xludf.DUMMYFUNCTION("IMPORTRANGE(""https://docs.google.com/spreadsheets/d/1XL5vhW3sbDhbH9Cz0tuDiY8C3ctxq1tqvaCgkFb8cCA/edit?usp=sharing"",""เลย!L247"")"),509680)</f>
        <v>509680</v>
      </c>
      <c r="M352" s="167"/>
      <c r="N352" s="166">
        <f ca="1">IFERROR(__xludf.DUMMYFUNCTION("IMPORTRANGE(""https://docs.google.com/spreadsheets/d/1XL5vhW3sbDhbH9Cz0tuDiY8C3ctxq1tqvaCgkFb8cCA/edit?usp=sharing"",""เลย!M247"")"),45089)</f>
        <v>45089</v>
      </c>
      <c r="O352" s="167">
        <f t="shared" ca="1" si="105"/>
        <v>8.8465311568042697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IFERROR(__xludf.DUMMYFUNCTION("IMPORTRANGE(""https://docs.google.com/spreadsheets/d/1XL5vhW3sbDhbH9Cz0tuDiY8C3ctxq1tqvaCgkFb8cCA/edit?usp=sharing"",""เลย!L248"")"),0)</f>
        <v>0</v>
      </c>
      <c r="M353" s="170"/>
      <c r="N353" s="170">
        <f ca="1">IFERROR(__xludf.DUMMYFUNCTION("IMPORTRANGE(""https://docs.google.com/spreadsheets/d/1XL5vhW3sbDhbH9Cz0tuDiY8C3ctxq1tqvaCgkFb8cCA/edit?usp=sharing"",""เลย!M248"")"),0)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IFERROR(__xludf.DUMMYFUNCTION("IMPORTRANGE(""https://docs.google.com/spreadsheets/d/1XL5vhW3sbDhbH9Cz0tuDiY8C3ctxq1tqvaCgkFb8cCA/edit?usp=sharing"",""เลย!L249"")"),509680)</f>
        <v>509680</v>
      </c>
      <c r="M354" s="170"/>
      <c r="N354" s="169">
        <f ca="1">IFERROR(__xludf.DUMMYFUNCTION("IMPORTRANGE(""https://docs.google.com/spreadsheets/d/1XL5vhW3sbDhbH9Cz0tuDiY8C3ctxq1tqvaCgkFb8cCA/edit?usp=sharing"",""เลย!M249"")"),45089)</f>
        <v>45089</v>
      </c>
      <c r="O354" s="170">
        <f t="shared" ca="1" si="105"/>
        <v>8.8465311568042697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IFERROR(__xludf.DUMMYFUNCTION("IMPORTRANGE(""https://docs.google.com/spreadsheets/d/1XL5vhW3sbDhbH9Cz0tuDiY8C3ctxq1tqvaCgkFb8cCA/edit?usp=sharing"",""เลย!M250"")"),0)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IFERROR(__xludf.DUMMYFUNCTION("IMPORTRANGE(""https://docs.google.com/spreadsheets/d/1XL5vhW3sbDhbH9Cz0tuDiY8C3ctxq1tqvaCgkFb8cCA/edit?usp=sharing"",""เลย!M251"")"),0)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IFERROR(__xludf.DUMMYFUNCTION("IMPORTRANGE(""https://docs.google.com/spreadsheets/d/1XL5vhW3sbDhbH9Cz0tuDiY8C3ctxq1tqvaCgkFb8cCA/edit?usp=sharing"",""เลย!M252"")"),31899)</f>
        <v>31899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IFERROR(__xludf.DUMMYFUNCTION("IMPORTRANGE(""https://docs.google.com/spreadsheets/d/1XL5vhW3sbDhbH9Cz0tuDiY8C3ctxq1tqvaCgkFb8cCA/edit?usp=sharing"",""เลย!M253"")"),13190)</f>
        <v>13190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IFERROR(__xludf.DUMMYFUNCTION("IMPORTRANGE(""https://docs.google.com/spreadsheets/d/1XL5vhW3sbDhbH9Cz0tuDiY8C3ctxq1tqvaCgkFb8cCA/edit?usp=sharing"",""เลย!J255"")"),0)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IFERROR(__xludf.DUMMYFUNCTION("IMPORTRANGE(""https://docs.google.com/spreadsheets/d/1XL5vhW3sbDhbH9Cz0tuDiY8C3ctxq1tqvaCgkFb8cCA/edit?usp=sharing"",""เลย!J256"")"),1)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IFERROR(__xludf.DUMMYFUNCTION("IMPORTRANGE(""https://docs.google.com/spreadsheets/d/1XL5vhW3sbDhbH9Cz0tuDiY8C3ctxq1tqvaCgkFb8cCA/edit?usp=sharing"",""เลย!J257"")"),1)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IFERROR(__xludf.DUMMYFUNCTION("IMPORTRANGE(""https://docs.google.com/spreadsheets/d/1XL5vhW3sbDhbH9Cz0tuDiY8C3ctxq1tqvaCgkFb8cCA/edit?usp=sharing"",""เลย!J258"")"),0)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IFERROR(__xludf.DUMMYFUNCTION("IMPORTRANGE(""https://docs.google.com/spreadsheets/d/1XL5vhW3sbDhbH9Cz0tuDiY8C3ctxq1tqvaCgkFb8cCA/edit?usp=sharing"",""เลย!J166"")"),0)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IFERROR(__xludf.DUMMYFUNCTION("IMPORTRANGE(""https://docs.google.com/spreadsheets/d/1XL5vhW3sbDhbH9Cz0tuDiY8C3ctxq1tqvaCgkFb8cCA/edit?usp=sharing"",""เลย!J166"")"),0)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IFERROR(__xludf.DUMMYFUNCTION("IMPORTRANGE(""https://docs.google.com/spreadsheets/d/1XL5vhW3sbDhbH9Cz0tuDiY8C3ctxq1tqvaCgkFb8cCA/edit?usp=sharing"",""เลย!J166"")"),0)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IFERROR(__xludf.DUMMYFUNCTION("IMPORTRANGE(""https://docs.google.com/spreadsheets/d/1XL5vhW3sbDhbH9Cz0tuDiY8C3ctxq1tqvaCgkFb8cCA/edit?usp=sharing"",""เลย!J166"")"),0)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IFERROR(__xludf.DUMMYFUNCTION("IMPORTRANGE(""https://docs.google.com/spreadsheets/d/1XL5vhW3sbDhbH9Cz0tuDiY8C3ctxq1tqvaCgkFb8cCA/edit?usp=sharing"",""เลย!I263"")"),90)</f>
        <v>90</v>
      </c>
      <c r="J368" s="189">
        <f ca="1">IFERROR(__xludf.DUMMYFUNCTION("IMPORTRANGE(""https://docs.google.com/spreadsheets/d/1XL5vhW3sbDhbH9Cz0tuDiY8C3ctxq1tqvaCgkFb8cCA/edit?usp=sharing"",""เลย!J263"")"),0)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IFERROR(__xludf.DUMMYFUNCTION("IMPORTRANGE(""https://docs.google.com/spreadsheets/d/1XL5vhW3sbDhbH9Cz0tuDiY8C3ctxq1tqvaCgkFb8cCA/edit?usp=sharing"",""เลย!I164"")"),0)</f>
        <v>0</v>
      </c>
      <c r="J369" s="205">
        <f ca="1">IFERROR(__xludf.DUMMYFUNCTION("IMPORTRANGE(""https://docs.google.com/spreadsheets/d/1XL5vhW3sbDhbH9Cz0tuDiY8C3ctxq1tqvaCgkFb8cCA/edit?usp=sharing"",""เลย!J164"")"),0)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IFERROR(__xludf.DUMMYFUNCTION("IMPORTRANGE(""https://docs.google.com/spreadsheets/d/1XL5vhW3sbDhbH9Cz0tuDiY8C3ctxq1tqvaCgkFb8cCA/edit?usp=sharing"",""เลย!I265"")"),90)</f>
        <v>90</v>
      </c>
      <c r="J370" s="205">
        <f ca="1">IFERROR(__xludf.DUMMYFUNCTION("IMPORTRANGE(""https://docs.google.com/spreadsheets/d/1XL5vhW3sbDhbH9Cz0tuDiY8C3ctxq1tqvaCgkFb8cCA/edit?usp=sharing"",""เลย!J265"")"),0)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IFERROR(__xludf.DUMMYFUNCTION("IMPORTRANGE(""https://docs.google.com/spreadsheets/d/1XL5vhW3sbDhbH9Cz0tuDiY8C3ctxq1tqvaCgkFb8cCA/edit?usp=sharing"",""เลย!I164"")"),0)</f>
        <v>0</v>
      </c>
      <c r="J371" s="190">
        <f ca="1">IFERROR(__xludf.DUMMYFUNCTION("IMPORTRANGE(""https://docs.google.com/spreadsheets/d/1XL5vhW3sbDhbH9Cz0tuDiY8C3ctxq1tqvaCgkFb8cCA/edit?usp=sharing"",""เลย!J164"")"),0)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IFERROR(__xludf.DUMMYFUNCTION("IMPORTRANGE(""https://docs.google.com/spreadsheets/d/1XL5vhW3sbDhbH9Cz0tuDiY8C3ctxq1tqvaCgkFb8cCA/edit?usp=sharing"",""เลย!I267"")"),90)</f>
        <v>90</v>
      </c>
      <c r="J372" s="190">
        <f ca="1">IFERROR(__xludf.DUMMYFUNCTION("IMPORTRANGE(""https://docs.google.com/spreadsheets/d/1XL5vhW3sbDhbH9Cz0tuDiY8C3ctxq1tqvaCgkFb8cCA/edit?usp=sharing"",""เลย!J267"")"),0)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IFERROR(__xludf.DUMMYFUNCTION("IMPORTRANGE(""https://docs.google.com/spreadsheets/d/1XL5vhW3sbDhbH9Cz0tuDiY8C3ctxq1tqvaCgkFb8cCA/edit?usp=sharing"",""เลย!I164"")"),0)</f>
        <v>0</v>
      </c>
      <c r="J373" s="205">
        <f ca="1">IFERROR(__xludf.DUMMYFUNCTION("IMPORTRANGE(""https://docs.google.com/spreadsheets/d/1XL5vhW3sbDhbH9Cz0tuDiY8C3ctxq1tqvaCgkFb8cCA/edit?usp=sharing"",""เลย!J164"")"),0)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IFERROR(__xludf.DUMMYFUNCTION("IMPORTRANGE(""https://docs.google.com/spreadsheets/d/1XL5vhW3sbDhbH9Cz0tuDiY8C3ctxq1tqvaCgkFb8cCA/edit?usp=sharing"",""เลย!I164"")"),0)</f>
        <v>0</v>
      </c>
      <c r="J374" s="189">
        <f ca="1">IFERROR(__xludf.DUMMYFUNCTION("IMPORTRANGE(""https://docs.google.com/spreadsheets/d/1XL5vhW3sbDhbH9Cz0tuDiY8C3ctxq1tqvaCgkFb8cCA/edit?usp=sharing"",""เลย!J164"")"),0)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IFERROR(__xludf.DUMMYFUNCTION("IMPORTRANGE(""https://docs.google.com/spreadsheets/d/1XL5vhW3sbDhbH9Cz0tuDiY8C3ctxq1tqvaCgkFb8cCA/edit?usp=sharing"",""เลย!I270"")"),235)</f>
        <v>235</v>
      </c>
      <c r="J375" s="189">
        <f ca="1">IFERROR(__xludf.DUMMYFUNCTION("IMPORTRANGE(""https://docs.google.com/spreadsheets/d/1XL5vhW3sbDhbH9Cz0tuDiY8C3ctxq1tqvaCgkFb8cCA/edit?usp=sharing"",""เลย!J270"")"),0)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IFERROR(__xludf.DUMMYFUNCTION("IMPORTRANGE(""https://docs.google.com/spreadsheets/d/1XL5vhW3sbDhbH9Cz0tuDiY8C3ctxq1tqvaCgkFb8cCA/edit?usp=sharing"",""เลย!I271"")"),100)</f>
        <v>100</v>
      </c>
      <c r="J376" s="190">
        <f ca="1">IFERROR(__xludf.DUMMYFUNCTION("IMPORTRANGE(""https://docs.google.com/spreadsheets/d/1XL5vhW3sbDhbH9Cz0tuDiY8C3ctxq1tqvaCgkFb8cCA/edit?usp=sharing"",""เลย!J271"")"),0)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IFERROR(__xludf.DUMMYFUNCTION("IMPORTRANGE(""https://docs.google.com/spreadsheets/d/1XL5vhW3sbDhbH9Cz0tuDiY8C3ctxq1tqvaCgkFb8cCA/edit?usp=sharing"",""เลย!I272"")"),135)</f>
        <v>135</v>
      </c>
      <c r="J377" s="205">
        <f ca="1">IFERROR(__xludf.DUMMYFUNCTION("IMPORTRANGE(""https://docs.google.com/spreadsheets/d/1XL5vhW3sbDhbH9Cz0tuDiY8C3ctxq1tqvaCgkFb8cCA/edit?usp=sharing"",""เลย!J272"")"),0)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IFERROR(__xludf.DUMMYFUNCTION("IMPORTRANGE(""https://docs.google.com/spreadsheets/d/1XL5vhW3sbDhbH9Cz0tuDiY8C3ctxq1tqvaCgkFb8cCA/edit?usp=sharing"",""เลย!J273"")"),0)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IFERROR(__xludf.DUMMYFUNCTION("IMPORTRANGE(""https://docs.google.com/spreadsheets/d/1XL5vhW3sbDhbH9Cz0tuDiY8C3ctxq1tqvaCgkFb8cCA/edit?usp=sharing"",""เลย!J274"")"),0)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IFERROR(__xludf.DUMMYFUNCTION("IMPORTRANGE(""https://docs.google.com/spreadsheets/d/1XL5vhW3sbDhbH9Cz0tuDiY8C3ctxq1tqvaCgkFb8cCA/edit?usp=sharing"",""เลย!M275"")"),32266)</f>
        <v>32266</v>
      </c>
      <c r="O380" s="373">
        <f ca="1">+IF(L380&gt;0,N380*100/L380,0)</f>
        <v>3.1371290786761561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IFERROR(__xludf.DUMMYFUNCTION("IMPORTRANGE(""https://docs.google.com/spreadsheets/d/1XL5vhW3sbDhbH9Cz0tuDiY8C3ctxq1tqvaCgkFb8cCA/edit?usp=sharing"",""เลย!L277"")"),0)</f>
        <v>0</v>
      </c>
      <c r="M382" s="166"/>
      <c r="N382" s="166">
        <f ca="1">IFERROR(__xludf.DUMMYFUNCTION("IMPORTRANGE(""https://docs.google.com/spreadsheets/d/1XL5vhW3sbDhbH9Cz0tuDiY8C3ctxq1tqvaCgkFb8cCA/edit?usp=sharing"",""เลย!M277"")"),0)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IFERROR(__xludf.DUMMYFUNCTION("IMPORTRANGE(""https://docs.google.com/spreadsheets/d/1XL5vhW3sbDhbH9Cz0tuDiY8C3ctxq1tqvaCgkFb8cCA/edit?usp=sharing"",""เลย!L278"")"),1028520)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IFERROR(__xludf.DUMMYFUNCTION("IMPORTRANGE(""https://docs.google.com/spreadsheets/d/1XL5vhW3sbDhbH9Cz0tuDiY8C3ctxq1tqvaCgkFb8cCA/edit?usp=sharing"",""เลย!M278"")"),32266)</f>
        <v>32266</v>
      </c>
      <c r="O383" s="167">
        <f t="shared" ca="1" si="109"/>
        <v>3.1371290786761561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IFERROR(__xludf.DUMMYFUNCTION("IMPORTRANGE(""https://docs.google.com/spreadsheets/d/1XL5vhW3sbDhbH9Cz0tuDiY8C3ctxq1tqvaCgkFb8cCA/edit?usp=sharing"",""เลย!L279"")"),0)</f>
        <v>0</v>
      </c>
      <c r="M384" s="170"/>
      <c r="N384" s="170">
        <f ca="1">IFERROR(__xludf.DUMMYFUNCTION("IMPORTRANGE(""https://docs.google.com/spreadsheets/d/1XL5vhW3sbDhbH9Cz0tuDiY8C3ctxq1tqvaCgkFb8cCA/edit?usp=sharing"",""เลย!M279"")"),0)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IFERROR(__xludf.DUMMYFUNCTION("IMPORTRANGE(""https://docs.google.com/spreadsheets/d/1XL5vhW3sbDhbH9Cz0tuDiY8C3ctxq1tqvaCgkFb8cCA/edit?usp=sharing"",""เลย!L280"")"),1028520)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IFERROR(__xludf.DUMMYFUNCTION("IMPORTRANGE(""https://docs.google.com/spreadsheets/d/1XL5vhW3sbDhbH9Cz0tuDiY8C3ctxq1tqvaCgkFb8cCA/edit?usp=sharing"",""เลย!M280"")"),32266)</f>
        <v>32266</v>
      </c>
      <c r="O385" s="170">
        <f t="shared" ca="1" si="109"/>
        <v>3.1371290786761561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IFERROR(__xludf.DUMMYFUNCTION("IMPORTRANGE(""https://docs.google.com/spreadsheets/d/1XL5vhW3sbDhbH9Cz0tuDiY8C3ctxq1tqvaCgkFb8cCA/edit?usp=sharing"",""เลย!M281"")"),0)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IFERROR(__xludf.DUMMYFUNCTION("IMPORTRANGE(""https://docs.google.com/spreadsheets/d/1XL5vhW3sbDhbH9Cz0tuDiY8C3ctxq1tqvaCgkFb8cCA/edit?usp=sharing"",""เลย!M282"")"),0)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IFERROR(__xludf.DUMMYFUNCTION("IMPORTRANGE(""https://docs.google.com/spreadsheets/d/1XL5vhW3sbDhbH9Cz0tuDiY8C3ctxq1tqvaCgkFb8cCA/edit?usp=sharing"",""เลย!M283"")"),32266)</f>
        <v>32266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IFERROR(__xludf.DUMMYFUNCTION("IMPORTRANGE(""https://docs.google.com/spreadsheets/d/1XL5vhW3sbDhbH9Cz0tuDiY8C3ctxq1tqvaCgkFb8cCA/edit?usp=sharing"",""เลย!M284"")"),0)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IFERROR(__xludf.DUMMYFUNCTION("IMPORTRANGE(""https://docs.google.com/spreadsheets/d/1XL5vhW3sbDhbH9Cz0tuDiY8C3ctxq1tqvaCgkFb8cCA/edit?usp=sharing"",""เลย!J286"")"),0)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IFERROR(__xludf.DUMMYFUNCTION("IMPORTRANGE(""https://docs.google.com/spreadsheets/d/1XL5vhW3sbDhbH9Cz0tuDiY8C3ctxq1tqvaCgkFb8cCA/edit?usp=sharing"",""เลย!J287"")"),1)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IFERROR(__xludf.DUMMYFUNCTION("IMPORTRANGE(""https://docs.google.com/spreadsheets/d/1XL5vhW3sbDhbH9Cz0tuDiY8C3ctxq1tqvaCgkFb8cCA/edit?usp=sharing"",""เลย!J288"")"),1)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IFERROR(__xludf.DUMMYFUNCTION("IMPORTRANGE(""https://docs.google.com/spreadsheets/d/1XL5vhW3sbDhbH9Cz0tuDiY8C3ctxq1tqvaCgkFb8cCA/edit?usp=sharing"",""เลย!J289"")"),0)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IFERROR(__xludf.DUMMYFUNCTION("IMPORTRANGE(""https://docs.google.com/spreadsheets/d/1XL5vhW3sbDhbH9Cz0tuDiY8C3ctxq1tqvaCgkFb8cCA/edit?usp=sharing"",""เลย!I291"")"),100)</f>
        <v>100</v>
      </c>
      <c r="J396" s="199">
        <f ca="1">IFERROR(__xludf.DUMMYFUNCTION("IMPORTRANGE(""https://docs.google.com/spreadsheets/d/1XL5vhW3sbDhbH9Cz0tuDiY8C3ctxq1tqvaCgkFb8cCA/edit?usp=sharing"",""เลย!J291"")"),0)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IFERROR(__xludf.DUMMYFUNCTION("IMPORTRANGE(""https://docs.google.com/spreadsheets/d/1XL5vhW3sbDhbH9Cz0tuDiY8C3ctxq1tqvaCgkFb8cCA/edit?usp=sharing"",""เลย!I292"")"),1000)</f>
        <v>1000</v>
      </c>
      <c r="J397" s="199">
        <f ca="1">IFERROR(__xludf.DUMMYFUNCTION("IMPORTRANGE(""https://docs.google.com/spreadsheets/d/1XL5vhW3sbDhbH9Cz0tuDiY8C3ctxq1tqvaCgkFb8cCA/edit?usp=sharing"",""เลย!J292"")"),0)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IFERROR(__xludf.DUMMYFUNCTION("IMPORTRANGE(""https://docs.google.com/spreadsheets/d/1XL5vhW3sbDhbH9Cz0tuDiY8C3ctxq1tqvaCgkFb8cCA/edit?usp=sharing"",""เลย!I293"")"),100)</f>
        <v>100</v>
      </c>
      <c r="J398" s="199">
        <f ca="1">IFERROR(__xludf.DUMMYFUNCTION("IMPORTRANGE(""https://docs.google.com/spreadsheets/d/1XL5vhW3sbDhbH9Cz0tuDiY8C3ctxq1tqvaCgkFb8cCA/edit?usp=sharing"",""เลย!J293"")"),0)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IFERROR(__xludf.DUMMYFUNCTION("IMPORTRANGE(""https://docs.google.com/spreadsheets/d/1XL5vhW3sbDhbH9Cz0tuDiY8C3ctxq1tqvaCgkFb8cCA/edit?usp=sharing"",""เลย!J294"")"),0)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IFERROR(__xludf.DUMMYFUNCTION("IMPORTRANGE(""https://docs.google.com/spreadsheets/d/1XL5vhW3sbDhbH9Cz0tuDiY8C3ctxq1tqvaCgkFb8cCA/edit?usp=sharing"",""เลย!J295"")"),0)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IFERROR(__xludf.DUMMYFUNCTION("IMPORTRANGE(""https://docs.google.com/spreadsheets/d/1XL5vhW3sbDhbH9Cz0tuDiY8C3ctxq1tqvaCgkFb8cCA/edit?usp=sharing"",""เลย!M296"")"),6060)</f>
        <v>6060</v>
      </c>
      <c r="O401" s="373">
        <f ca="1">+IF(L401&gt;0,N401*100/L401,0)</f>
        <v>4.1193664604717561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IFERROR(__xludf.DUMMYFUNCTION("IMPORTRANGE(""https://docs.google.com/spreadsheets/d/1XL5vhW3sbDhbH9Cz0tuDiY8C3ctxq1tqvaCgkFb8cCA/edit?usp=sharing"",""เลย!L298"")"),0)</f>
        <v>0</v>
      </c>
      <c r="M403" s="166"/>
      <c r="N403" s="170">
        <f ca="1">IFERROR(__xludf.DUMMYFUNCTION("IMPORTRANGE(""https://docs.google.com/spreadsheets/d/1XL5vhW3sbDhbH9Cz0tuDiY8C3ctxq1tqvaCgkFb8cCA/edit?usp=sharing"",""เลย!M298"")"),0)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IFERROR(__xludf.DUMMYFUNCTION("IMPORTRANGE(""https://docs.google.com/spreadsheets/d/1XL5vhW3sbDhbH9Cz0tuDiY8C3ctxq1tqvaCgkFb8cCA/edit?usp=sharing"",""เลย!L299"")"),147110)</f>
        <v>147110</v>
      </c>
      <c r="M404" s="167"/>
      <c r="N404" s="170">
        <f ca="1">IFERROR(__xludf.DUMMYFUNCTION("IMPORTRANGE(""https://docs.google.com/spreadsheets/d/1XL5vhW3sbDhbH9Cz0tuDiY8C3ctxq1tqvaCgkFb8cCA/edit?usp=sharing"",""เลย!M299"")"),6060)</f>
        <v>6060</v>
      </c>
      <c r="O404" s="170">
        <f t="shared" ca="1" si="112"/>
        <v>4.1193664604717561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IFERROR(__xludf.DUMMYFUNCTION("IMPORTRANGE(""https://docs.google.com/spreadsheets/d/1XL5vhW3sbDhbH9Cz0tuDiY8C3ctxq1tqvaCgkFb8cCA/edit?usp=sharing"",""เลย!L300"")"),0)</f>
        <v>0</v>
      </c>
      <c r="M405" s="170"/>
      <c r="N405" s="170">
        <f ca="1">IFERROR(__xludf.DUMMYFUNCTION("IMPORTRANGE(""https://docs.google.com/spreadsheets/d/1XL5vhW3sbDhbH9Cz0tuDiY8C3ctxq1tqvaCgkFb8cCA/edit?usp=sharing"",""เลย!M300"")"),0)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IFERROR(__xludf.DUMMYFUNCTION("IMPORTRANGE(""https://docs.google.com/spreadsheets/d/1XL5vhW3sbDhbH9Cz0tuDiY8C3ctxq1tqvaCgkFb8cCA/edit?usp=sharing"",""เลย!L301"")"),147110)</f>
        <v>147110</v>
      </c>
      <c r="M406" s="170"/>
      <c r="N406" s="170">
        <f ca="1">IFERROR(__xludf.DUMMYFUNCTION("IMPORTRANGE(""https://docs.google.com/spreadsheets/d/1XL5vhW3sbDhbH9Cz0tuDiY8C3ctxq1tqvaCgkFb8cCA/edit?usp=sharing"",""เลย!M301"")"),6060)</f>
        <v>6060</v>
      </c>
      <c r="O406" s="170">
        <f t="shared" ca="1" si="112"/>
        <v>4.1193664604717561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IFERROR(__xludf.DUMMYFUNCTION("IMPORTRANGE(""https://docs.google.com/spreadsheets/d/1XL5vhW3sbDhbH9Cz0tuDiY8C3ctxq1tqvaCgkFb8cCA/edit?usp=sharing"",""เลย!M302"")"),0)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IFERROR(__xludf.DUMMYFUNCTION("IMPORTRANGE(""https://docs.google.com/spreadsheets/d/1XL5vhW3sbDhbH9Cz0tuDiY8C3ctxq1tqvaCgkFb8cCA/edit?usp=sharing"",""เลย!M303"")"),0)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IFERROR(__xludf.DUMMYFUNCTION("IMPORTRANGE(""https://docs.google.com/spreadsheets/d/1XL5vhW3sbDhbH9Cz0tuDiY8C3ctxq1tqvaCgkFb8cCA/edit?usp=sharing"",""เลย!M304"")"),0)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IFERROR(__xludf.DUMMYFUNCTION("IMPORTRANGE(""https://docs.google.com/spreadsheets/d/1XL5vhW3sbDhbH9Cz0tuDiY8C3ctxq1tqvaCgkFb8cCA/edit?usp=sharing"",""เลย!M305"")"),6060)</f>
        <v>6060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IFERROR(__xludf.DUMMYFUNCTION("IMPORTRANGE(""https://docs.google.com/spreadsheets/d/1XL5vhW3sbDhbH9Cz0tuDiY8C3ctxq1tqvaCgkFb8cCA/edit?usp=sharing"",""เลย!J307"")"),0)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IFERROR(__xludf.DUMMYFUNCTION("IMPORTRANGE(""https://docs.google.com/spreadsheets/d/1XL5vhW3sbDhbH9Cz0tuDiY8C3ctxq1tqvaCgkFb8cCA/edit?usp=sharing"",""เลย!J308"")"),1)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IFERROR(__xludf.DUMMYFUNCTION("IMPORTRANGE(""https://docs.google.com/spreadsheets/d/1XL5vhW3sbDhbH9Cz0tuDiY8C3ctxq1tqvaCgkFb8cCA/edit?usp=sharing"",""เลย!J309"")"),1)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IFERROR(__xludf.DUMMYFUNCTION("IMPORTRANGE(""https://docs.google.com/spreadsheets/d/1XL5vhW3sbDhbH9Cz0tuDiY8C3ctxq1tqvaCgkFb8cCA/edit?usp=sharing"",""เลย!J310"")"),0)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IFERROR(__xludf.DUMMYFUNCTION("IMPORTRANGE(""https://docs.google.com/spreadsheets/d/1XL5vhW3sbDhbH9Cz0tuDiY8C3ctxq1tqvaCgkFb8cCA/edit?usp=sharing"",""เลย!I311"")"),40)</f>
        <v>40</v>
      </c>
      <c r="J416" s="202">
        <f ca="1">IFERROR(__xludf.DUMMYFUNCTION("IMPORTRANGE(""https://docs.google.com/spreadsheets/d/1XL5vhW3sbDhbH9Cz0tuDiY8C3ctxq1tqvaCgkFb8cCA/edit?usp=sharing"",""เลย!J311"")"),0)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IFERROR(__xludf.DUMMYFUNCTION("IMPORTRANGE(""https://docs.google.com/spreadsheets/d/1XL5vhW3sbDhbH9Cz0tuDiY8C3ctxq1tqvaCgkFb8cCA/edit?usp=sharing"",""เลย!J328"")"),0)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IFERROR(__xludf.DUMMYFUNCTION("IMPORTRANGE(""https://docs.google.com/spreadsheets/d/1XL5vhW3sbDhbH9Cz0tuDiY8C3ctxq1tqvaCgkFb8cCA/edit?usp=sharing"",""เลย!J329"")"),0)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IFERROR(__xludf.DUMMYFUNCTION("IMPORTRANGE(""https://docs.google.com/spreadsheets/d/1XL5vhW3sbDhbH9Cz0tuDiY8C3ctxq1tqvaCgkFb8cCA/edit?usp=sharing"",""เลย!M330"")"),4900)</f>
        <v>4900</v>
      </c>
      <c r="O435" s="412">
        <f t="shared" ref="O435:O439" ca="1" si="114">+IF(L435&gt;0,N435*100/L435,0)</f>
        <v>6.3636363636363633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IFERROR(__xludf.DUMMYFUNCTION("IMPORTRANGE(""https://docs.google.com/spreadsheets/d/1XL5vhW3sbDhbH9Cz0tuDiY8C3ctxq1tqvaCgkFb8cCA/edit?usp=sharing"",""เลย!L331"")"),0)</f>
        <v>0</v>
      </c>
      <c r="M436" s="166"/>
      <c r="N436" s="170">
        <f ca="1">IFERROR(__xludf.DUMMYFUNCTION("IMPORTRANGE(""https://docs.google.com/spreadsheets/d/1XL5vhW3sbDhbH9Cz0tuDiY8C3ctxq1tqvaCgkFb8cCA/edit?usp=sharing"",""เลย!M331"")"),0)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IFERROR(__xludf.DUMMYFUNCTION("IMPORTRANGE(""https://docs.google.com/spreadsheets/d/1XL5vhW3sbDhbH9Cz0tuDiY8C3ctxq1tqvaCgkFb8cCA/edit?usp=sharing"",""เลย!L332"")"),77000)</f>
        <v>77000</v>
      </c>
      <c r="M437" s="167"/>
      <c r="N437" s="170">
        <f ca="1">IFERROR(__xludf.DUMMYFUNCTION("IMPORTRANGE(""https://docs.google.com/spreadsheets/d/1XL5vhW3sbDhbH9Cz0tuDiY8C3ctxq1tqvaCgkFb8cCA/edit?usp=sharing"",""เลย!M332"")"),4900)</f>
        <v>4900</v>
      </c>
      <c r="O437" s="170">
        <f t="shared" ca="1" si="114"/>
        <v>6.3636363636363633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IFERROR(__xludf.DUMMYFUNCTION("IMPORTRANGE(""https://docs.google.com/spreadsheets/d/1XL5vhW3sbDhbH9Cz0tuDiY8C3ctxq1tqvaCgkFb8cCA/edit?usp=sharing"",""เลย!L333"")"),0)</f>
        <v>0</v>
      </c>
      <c r="M438" s="170"/>
      <c r="N438" s="170">
        <f ca="1">IFERROR(__xludf.DUMMYFUNCTION("IMPORTRANGE(""https://docs.google.com/spreadsheets/d/1XL5vhW3sbDhbH9Cz0tuDiY8C3ctxq1tqvaCgkFb8cCA/edit?usp=sharing"",""เลย!M333"")"),0)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IFERROR(__xludf.DUMMYFUNCTION("IMPORTRANGE(""https://docs.google.com/spreadsheets/d/1XL5vhW3sbDhbH9Cz0tuDiY8C3ctxq1tqvaCgkFb8cCA/edit?usp=sharing"",""เลย!L334"")"),77000)</f>
        <v>77000</v>
      </c>
      <c r="M439" s="170"/>
      <c r="N439" s="170">
        <f ca="1">IFERROR(__xludf.DUMMYFUNCTION("IMPORTRANGE(""https://docs.google.com/spreadsheets/d/1XL5vhW3sbDhbH9Cz0tuDiY8C3ctxq1tqvaCgkFb8cCA/edit?usp=sharing"",""เลย!M334"")"),4900)</f>
        <v>4900</v>
      </c>
      <c r="O439" s="170">
        <f t="shared" ca="1" si="114"/>
        <v>6.3636363636363633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IFERROR(__xludf.DUMMYFUNCTION("IMPORTRANGE(""https://docs.google.com/spreadsheets/d/1XL5vhW3sbDhbH9Cz0tuDiY8C3ctxq1tqvaCgkFb8cCA/edit?usp=sharing"",""เลย!M335"")"),4900)</f>
        <v>4900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IFERROR(__xludf.DUMMYFUNCTION("IMPORTRANGE(""https://docs.google.com/spreadsheets/d/1XL5vhW3sbDhbH9Cz0tuDiY8C3ctxq1tqvaCgkFb8cCA/edit?usp=sharing"",""เลย!M336"")"),0)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IFERROR(__xludf.DUMMYFUNCTION("IMPORTRANGE(""https://docs.google.com/spreadsheets/d/1XL5vhW3sbDhbH9Cz0tuDiY8C3ctxq1tqvaCgkFb8cCA/edit?usp=sharing"",""เลย!M337"")"),0)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IFERROR(__xludf.DUMMYFUNCTION("IMPORTRANGE(""https://docs.google.com/spreadsheets/d/1XL5vhW3sbDhbH9Cz0tuDiY8C3ctxq1tqvaCgkFb8cCA/edit?usp=sharing"",""เลย!M338"")"),0)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IFERROR(__xludf.DUMMYFUNCTION("IMPORTRANGE(""https://docs.google.com/spreadsheets/d/1XL5vhW3sbDhbH9Cz0tuDiY8C3ctxq1tqvaCgkFb8cCA/edit?usp=sharing"",""เลย!J340"")"),0)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IFERROR(__xludf.DUMMYFUNCTION("IMPORTRANGE(""https://docs.google.com/spreadsheets/d/1XL5vhW3sbDhbH9Cz0tuDiY8C3ctxq1tqvaCgkFb8cCA/edit?usp=sharing"",""เลย!J341"")"),1)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IFERROR(__xludf.DUMMYFUNCTION("IMPORTRANGE(""https://docs.google.com/spreadsheets/d/1XL5vhW3sbDhbH9Cz0tuDiY8C3ctxq1tqvaCgkFb8cCA/edit?usp=sharing"",""เลย!J342"")"),1)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IFERROR(__xludf.DUMMYFUNCTION("IMPORTRANGE(""https://docs.google.com/spreadsheets/d/1XL5vhW3sbDhbH9Cz0tuDiY8C3ctxq1tqvaCgkFb8cCA/edit?usp=sharing"",""เลย!J343"")"),0)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2">
        <f ca="1">IFERROR(__xludf.DUMMYFUNCTION("IMPORTRANGE(""https://docs.google.com/spreadsheets/d/1XL5vhW3sbDhbH9Cz0tuDiY8C3ctxq1tqvaCgkFb8cCA/edit?usp=sharing"",""เลย!J344"")"),0)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IFERROR(__xludf.DUMMYFUNCTION("IMPORTRANGE(""https://docs.google.com/spreadsheets/d/1XL5vhW3sbDhbH9Cz0tuDiY8C3ctxq1tqvaCgkFb8cCA/edit?usp=sharing"",""เลย!I345"")"),10)</f>
        <v>10</v>
      </c>
      <c r="J450" s="190">
        <f ca="1">IFERROR(__xludf.DUMMYFUNCTION("IMPORTRANGE(""https://docs.google.com/spreadsheets/d/1XL5vhW3sbDhbH9Cz0tuDiY8C3ctxq1tqvaCgkFb8cCA/edit?usp=sharing"",""เลย!J345"")"),0)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IFERROR(__xludf.DUMMYFUNCTION("IMPORTRANGE(""https://docs.google.com/spreadsheets/d/1XL5vhW3sbDhbH9Cz0tuDiY8C3ctxq1tqvaCgkFb8cCA/edit?usp=sharing"",""เลย!I346"")"),0)</f>
        <v>0</v>
      </c>
      <c r="J451" s="189">
        <f ca="1">IFERROR(__xludf.DUMMYFUNCTION("IMPORTRANGE(""https://docs.google.com/spreadsheets/d/1XL5vhW3sbDhbH9Cz0tuDiY8C3ctxq1tqvaCgkFb8cCA/edit?usp=sharing"",""เลย!J346"")"),0)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IFERROR(__xludf.DUMMYFUNCTION("IMPORTRANGE(""https://docs.google.com/spreadsheets/d/1XL5vhW3sbDhbH9Cz0tuDiY8C3ctxq1tqvaCgkFb8cCA/edit?usp=sharing"",""เลย!I347"")"),0)</f>
        <v>0</v>
      </c>
      <c r="J452" s="189">
        <f ca="1">IFERROR(__xludf.DUMMYFUNCTION("IMPORTRANGE(""https://docs.google.com/spreadsheets/d/1XL5vhW3sbDhbH9Cz0tuDiY8C3ctxq1tqvaCgkFb8cCA/edit?usp=sharing"",""เลย!J347"")"),0)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IFERROR(__xludf.DUMMYFUNCTION("IMPORTRANGE(""https://docs.google.com/spreadsheets/d/1XL5vhW3sbDhbH9Cz0tuDiY8C3ctxq1tqvaCgkFb8cCA/edit?usp=sharing"",""เลย!J348"")"),0)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IFERROR(__xludf.DUMMYFUNCTION("IMPORTRANGE(""https://docs.google.com/spreadsheets/d/1XL5vhW3sbDhbH9Cz0tuDiY8C3ctxq1tqvaCgkFb8cCA/edit?usp=sharing"",""เลย!J349"")"),0)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IFERROR(__xludf.DUMMYFUNCTION("IMPORTRANGE(""https://docs.google.com/spreadsheets/d/1XL5vhW3sbDhbH9Cz0tuDiY8C3ctxq1tqvaCgkFb8cCA/edit?usp=sharing"",""เลย!J350"")"),57216.5774999998)</f>
        <v>57216.577499999803</v>
      </c>
      <c r="K455" s="372">
        <f ca="1">IF(I455&gt;0,J455*100/I455,0)</f>
        <v>100.06396904512033</v>
      </c>
      <c r="L455" s="373">
        <f ca="1">IFERROR(__xludf.DUMMYFUNCTION("IMPORTRANGE(""https://docs.google.com/spreadsheets/d/1XL5vhW3sbDhbH9Cz0tuDiY8C3ctxq1tqvaCgkFb8cCA/edit?usp=sharing"",""เลย!L350"")"),489836)</f>
        <v>489836</v>
      </c>
      <c r="M455" s="373"/>
      <c r="N455" s="373">
        <f ca="1">IFERROR(__xludf.DUMMYFUNCTION("IMPORTRANGE(""https://docs.google.com/spreadsheets/d/1XL5vhW3sbDhbH9Cz0tuDiY8C3ctxq1tqvaCgkFb8cCA/edit?usp=sharing"",""เลย!M350"")"),88270)</f>
        <v>88270</v>
      </c>
      <c r="O455" s="373">
        <f t="shared" ref="O455:O459" ca="1" si="116">+IF(L455&gt;0,N455*100/L455,0)</f>
        <v>18.020317004058501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IFERROR(__xludf.DUMMYFUNCTION("IMPORTRANGE(""https://docs.google.com/spreadsheets/d/1XL5vhW3sbDhbH9Cz0tuDiY8C3ctxq1tqvaCgkFb8cCA/edit?usp=sharing"",""เลย!L351"")"),0)</f>
        <v>0</v>
      </c>
      <c r="M456" s="166"/>
      <c r="N456" s="170">
        <f ca="1">IFERROR(__xludf.DUMMYFUNCTION("IMPORTRANGE(""https://docs.google.com/spreadsheets/d/1XL5vhW3sbDhbH9Cz0tuDiY8C3ctxq1tqvaCgkFb8cCA/edit?usp=sharing"",""เลย!M351"")"),0)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IFERROR(__xludf.DUMMYFUNCTION("IMPORTRANGE(""https://docs.google.com/spreadsheets/d/1XL5vhW3sbDhbH9Cz0tuDiY8C3ctxq1tqvaCgkFb8cCA/edit?usp=sharing"",""เลย!L352"")"),489836)</f>
        <v>489836</v>
      </c>
      <c r="M457" s="167"/>
      <c r="N457" s="170">
        <f ca="1">IFERROR(__xludf.DUMMYFUNCTION("IMPORTRANGE(""https://docs.google.com/spreadsheets/d/1XL5vhW3sbDhbH9Cz0tuDiY8C3ctxq1tqvaCgkFb8cCA/edit?usp=sharing"",""เลย!M352"")"),88270)</f>
        <v>88270</v>
      </c>
      <c r="O457" s="170">
        <f t="shared" ca="1" si="116"/>
        <v>18.020317004058501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IFERROR(__xludf.DUMMYFUNCTION("IMPORTRANGE(""https://docs.google.com/spreadsheets/d/1XL5vhW3sbDhbH9Cz0tuDiY8C3ctxq1tqvaCgkFb8cCA/edit?usp=sharing"",""เลย!L353"")"),0)</f>
        <v>0</v>
      </c>
      <c r="M458" s="170"/>
      <c r="N458" s="170">
        <f ca="1">IFERROR(__xludf.DUMMYFUNCTION("IMPORTRANGE(""https://docs.google.com/spreadsheets/d/1XL5vhW3sbDhbH9Cz0tuDiY8C3ctxq1tqvaCgkFb8cCA/edit?usp=sharing"",""เลย!M353"")"),0)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IFERROR(__xludf.DUMMYFUNCTION("IMPORTRANGE(""https://docs.google.com/spreadsheets/d/1XL5vhW3sbDhbH9Cz0tuDiY8C3ctxq1tqvaCgkFb8cCA/edit?usp=sharing"",""เลย!L354"")"),489836)</f>
        <v>489836</v>
      </c>
      <c r="M459" s="170"/>
      <c r="N459" s="170">
        <f ca="1">IFERROR(__xludf.DUMMYFUNCTION("IMPORTRANGE(""https://docs.google.com/spreadsheets/d/1XL5vhW3sbDhbH9Cz0tuDiY8C3ctxq1tqvaCgkFb8cCA/edit?usp=sharing"",""เลย!M354"")"),88270)</f>
        <v>88270</v>
      </c>
      <c r="O459" s="170">
        <f t="shared" ca="1" si="116"/>
        <v>18.020317004058501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IFERROR(__xludf.DUMMYFUNCTION("IMPORTRANGE(""https://docs.google.com/spreadsheets/d/1XL5vhW3sbDhbH9Cz0tuDiY8C3ctxq1tqvaCgkFb8cCA/edit?usp=sharing"",""เลย!M355"")"),0)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IFERROR(__xludf.DUMMYFUNCTION("IMPORTRANGE(""https://docs.google.com/spreadsheets/d/1XL5vhW3sbDhbH9Cz0tuDiY8C3ctxq1tqvaCgkFb8cCA/edit?usp=sharing"",""เลย!M356"")"),0)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IFERROR(__xludf.DUMMYFUNCTION("IMPORTRANGE(""https://docs.google.com/spreadsheets/d/1XL5vhW3sbDhbH9Cz0tuDiY8C3ctxq1tqvaCgkFb8cCA/edit?usp=sharing"",""เลย!M357"")"),31175)</f>
        <v>31175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IFERROR(__xludf.DUMMYFUNCTION("IMPORTRANGE(""https://docs.google.com/spreadsheets/d/1XL5vhW3sbDhbH9Cz0tuDiY8C3ctxq1tqvaCgkFb8cCA/edit?usp=sharing"",""เลย!M358"")"),57095)</f>
        <v>57095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IFERROR(__xludf.DUMMYFUNCTION("IMPORTRANGE(""https://docs.google.com/spreadsheets/d/1XL5vhW3sbDhbH9Cz0tuDiY8C3ctxq1tqvaCgkFb8cCA/edit?usp=sharing"",""เลย!J359"")"),57216.5774999998)</f>
        <v>57216.577499999803</v>
      </c>
      <c r="K464" s="269">
        <f t="shared" ref="K464:K515" ca="1" si="117">IF(I464&gt;0,J464*100/I464,0)</f>
        <v>100.06396904512033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3">
        <f t="shared" ca="1" si="117"/>
        <v>100.0010108429519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IFERROR(__xludf.DUMMYFUNCTION("IMPORTRANGE(""https://docs.google.com/spreadsheets/d/1XL5vhW3sbDhbH9Cz0tuDiY8C3ctxq1tqvaCgkFb8cCA/edit?usp=sharing"",""เลย!I362"")"),0)</f>
        <v>0</v>
      </c>
      <c r="J467" s="190">
        <f ca="1">IFERROR(__xludf.DUMMYFUNCTION("IMPORTRANGE(""https://docs.google.com/spreadsheets/d/1XL5vhW3sbDhbH9Cz0tuDiY8C3ctxq1tqvaCgkFb8cCA/edit?usp=sharing"",""เลย!J362"")"),53746.2155)</f>
        <v>53746.215499999998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IFERROR(__xludf.DUMMYFUNCTION("IMPORTRANGE(""https://docs.google.com/spreadsheets/d/1XL5vhW3sbDhbH9Cz0tuDiY8C3ctxq1tqvaCgkFb8cCA/edit?usp=sharing"",""เลย!I363"")"),0)</f>
        <v>0</v>
      </c>
      <c r="J468" s="190">
        <f ca="1">IFERROR(__xludf.DUMMYFUNCTION("IMPORTRANGE(""https://docs.google.com/spreadsheets/d/1XL5vhW3sbDhbH9Cz0tuDiY8C3ctxq1tqvaCgkFb8cCA/edit?usp=sharing"",""เลย!J363"")"),5569)</f>
        <v>5569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IFERROR(__xludf.DUMMYFUNCTION("IMPORTRANGE(""https://docs.google.com/spreadsheets/d/1XL5vhW3sbDhbH9Cz0tuDiY8C3ctxq1tqvaCgkFb8cCA/edit?usp=sharing"",""เลย!I364"")"),0)</f>
        <v>0</v>
      </c>
      <c r="J469" s="190">
        <f ca="1">IFERROR(__xludf.DUMMYFUNCTION("IMPORTRANGE(""https://docs.google.com/spreadsheets/d/1XL5vhW3sbDhbH9Cz0tuDiY8C3ctxq1tqvaCgkFb8cCA/edit?usp=sharing"",""เลย!J364"")"),2197.0225)</f>
        <v>2197.0225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IFERROR(__xludf.DUMMYFUNCTION("IMPORTRANGE(""https://docs.google.com/spreadsheets/d/1XL5vhW3sbDhbH9Cz0tuDiY8C3ctxq1tqvaCgkFb8cCA/edit?usp=sharing"",""เลย!I365"")"),0)</f>
        <v>0</v>
      </c>
      <c r="J470" s="190">
        <f ca="1">IFERROR(__xludf.DUMMYFUNCTION("IMPORTRANGE(""https://docs.google.com/spreadsheets/d/1XL5vhW3sbDhbH9Cz0tuDiY8C3ctxq1tqvaCgkFb8cCA/edit?usp=sharing"",""เลย!J365"")"),99)</f>
        <v>99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IFERROR(__xludf.DUMMYFUNCTION("IMPORTRANGE(""https://docs.google.com/spreadsheets/d/1XL5vhW3sbDhbH9Cz0tuDiY8C3ctxq1tqvaCgkFb8cCA/edit?usp=sharing"",""เลย!I366"")"),0)</f>
        <v>0</v>
      </c>
      <c r="J471" s="190">
        <f ca="1">IFERROR(__xludf.DUMMYFUNCTION("IMPORTRANGE(""https://docs.google.com/spreadsheets/d/1XL5vhW3sbDhbH9Cz0tuDiY8C3ctxq1tqvaCgkFb8cCA/edit?usp=sharing"",""เลย!J366"")"),1237.34)</f>
        <v>1237.3399999999999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IFERROR(__xludf.DUMMYFUNCTION("IMPORTRANGE(""https://docs.google.com/spreadsheets/d/1XL5vhW3sbDhbH9Cz0tuDiY8C3ctxq1tqvaCgkFb8cCA/edit?usp=sharing"",""เลย!I367"")"),0)</f>
        <v>0</v>
      </c>
      <c r="J472" s="190">
        <f ca="1">IFERROR(__xludf.DUMMYFUNCTION("IMPORTRANGE(""https://docs.google.com/spreadsheets/d/1XL5vhW3sbDhbH9Cz0tuDiY8C3ctxq1tqvaCgkFb8cCA/edit?usp=sharing"",""เลย!J367"")"),134)</f>
        <v>134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3">
        <f t="shared" ca="1" si="117"/>
        <v>100.00100996852046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IFERROR(__xludf.DUMMYFUNCTION("IMPORTRANGE(""https://docs.google.com/spreadsheets/d/1XL5vhW3sbDhbH9Cz0tuDiY8C3ctxq1tqvaCgkFb8cCA/edit?usp=sharing"",""เลย!I370"")"),0)</f>
        <v>0</v>
      </c>
      <c r="J475" s="190">
        <f ca="1">IFERROR(__xludf.DUMMYFUNCTION("IMPORTRANGE(""https://docs.google.com/spreadsheets/d/1XL5vhW3sbDhbH9Cz0tuDiY8C3ctxq1tqvaCgkFb8cCA/edit?usp=sharing"",""เลย!J370"")"),53698.67)</f>
        <v>53698.67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IFERROR(__xludf.DUMMYFUNCTION("IMPORTRANGE(""https://docs.google.com/spreadsheets/d/1XL5vhW3sbDhbH9Cz0tuDiY8C3ctxq1tqvaCgkFb8cCA/edit?usp=sharing"",""เลย!I371"")"),0)</f>
        <v>0</v>
      </c>
      <c r="J476" s="190">
        <f ca="1">IFERROR(__xludf.DUMMYFUNCTION("IMPORTRANGE(""https://docs.google.com/spreadsheets/d/1XL5vhW3sbDhbH9Cz0tuDiY8C3ctxq1tqvaCgkFb8cCA/edit?usp=sharing"",""เลย!J371"")"),5562)</f>
        <v>5562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IFERROR(__xludf.DUMMYFUNCTION("IMPORTRANGE(""https://docs.google.com/spreadsheets/d/1XL5vhW3sbDhbH9Cz0tuDiY8C3ctxq1tqvaCgkFb8cCA/edit?usp=sharing"",""เลย!I372"")"),0)</f>
        <v>0</v>
      </c>
      <c r="J477" s="190">
        <f ca="1">IFERROR(__xludf.DUMMYFUNCTION("IMPORTRANGE(""https://docs.google.com/spreadsheets/d/1XL5vhW3sbDhbH9Cz0tuDiY8C3ctxq1tqvaCgkFb8cCA/edit?usp=sharing"",""เลย!J372"")"),2206.8025)</f>
        <v>2206.8024999999998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IFERROR(__xludf.DUMMYFUNCTION("IMPORTRANGE(""https://docs.google.com/spreadsheets/d/1XL5vhW3sbDhbH9Cz0tuDiY8C3ctxq1tqvaCgkFb8cCA/edit?usp=sharing"",""เลย!I373"")"),0)</f>
        <v>0</v>
      </c>
      <c r="J478" s="190">
        <f ca="1">IFERROR(__xludf.DUMMYFUNCTION("IMPORTRANGE(""https://docs.google.com/spreadsheets/d/1XL5vhW3sbDhbH9Cz0tuDiY8C3ctxq1tqvaCgkFb8cCA/edit?usp=sharing"",""เลย!J373"")"),102)</f>
        <v>102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IFERROR(__xludf.DUMMYFUNCTION("IMPORTRANGE(""https://docs.google.com/spreadsheets/d/1XL5vhW3sbDhbH9Cz0tuDiY8C3ctxq1tqvaCgkFb8cCA/edit?usp=sharing"",""เลย!I374"")"),0)</f>
        <v>0</v>
      </c>
      <c r="J479" s="190">
        <f ca="1">IFERROR(__xludf.DUMMYFUNCTION("IMPORTRANGE(""https://docs.google.com/spreadsheets/d/1XL5vhW3sbDhbH9Cz0tuDiY8C3ctxq1tqvaCgkFb8cCA/edit?usp=sharing"",""เลย!J374"")"),1275.105)</f>
        <v>1275.105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IFERROR(__xludf.DUMMYFUNCTION("IMPORTRANGE(""https://docs.google.com/spreadsheets/d/1XL5vhW3sbDhbH9Cz0tuDiY8C3ctxq1tqvaCgkFb8cCA/edit?usp=sharing"",""เลย!I375"")"),0)</f>
        <v>0</v>
      </c>
      <c r="J480" s="190">
        <f ca="1">IFERROR(__xludf.DUMMYFUNCTION("IMPORTRANGE(""https://docs.google.com/spreadsheets/d/1XL5vhW3sbDhbH9Cz0tuDiY8C3ctxq1tqvaCgkFb8cCA/edit?usp=sharing"",""เลย!J375"")"),138)</f>
        <v>138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IFERROR(__xludf.DUMMYFUNCTION("IMPORTRANGE(""https://docs.google.com/spreadsheets/d/1XL5vhW3sbDhbH9Cz0tuDiY8C3ctxq1tqvaCgkFb8cCA/edit?usp=sharing"",""เลย!J376"")"),57216.5774999998)</f>
        <v>57216.577499999803</v>
      </c>
      <c r="K481" s="203">
        <f t="shared" ca="1" si="117"/>
        <v>100.06396904512033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165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IFERROR(__xludf.DUMMYFUNCTION("IMPORTRANGE(""https://docs.google.com/spreadsheets/d/1XL5vhW3sbDhbH9Cz0tuDiY8C3ctxq1tqvaCgkFb8cCA/edit?usp=sharing"",""เลย!I378"")"),0)</f>
        <v>0</v>
      </c>
      <c r="J483" s="190">
        <f ca="1">IFERROR(__xludf.DUMMYFUNCTION("IMPORTRANGE(""https://docs.google.com/spreadsheets/d/1XL5vhW3sbDhbH9Cz0tuDiY8C3ctxq1tqvaCgkFb8cCA/edit?usp=sharing"",""เลย!J378"")"),53782.215)</f>
        <v>53782.214999999997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IFERROR(__xludf.DUMMYFUNCTION("IMPORTRANGE(""https://docs.google.com/spreadsheets/d/1XL5vhW3sbDhbH9Cz0tuDiY8C3ctxq1tqvaCgkFb8cCA/edit?usp=sharing"",""เลย!I379"")"),0)</f>
        <v>0</v>
      </c>
      <c r="J484" s="190">
        <f ca="1">IFERROR(__xludf.DUMMYFUNCTION("IMPORTRANGE(""https://docs.google.com/spreadsheets/d/1XL5vhW3sbDhbH9Cz0tuDiY8C3ctxq1tqvaCgkFb8cCA/edit?usp=sharing"",""เลย!J379"")"),5569)</f>
        <v>5569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IFERROR(__xludf.DUMMYFUNCTION("IMPORTRANGE(""https://docs.google.com/spreadsheets/d/1XL5vhW3sbDhbH9Cz0tuDiY8C3ctxq1tqvaCgkFb8cCA/edit?usp=sharing"",""เลย!I380"")"),0)</f>
        <v>0</v>
      </c>
      <c r="J485" s="190">
        <f ca="1">IFERROR(__xludf.DUMMYFUNCTION("IMPORTRANGE(""https://docs.google.com/spreadsheets/d/1XL5vhW3sbDhbH9Cz0tuDiY8C3ctxq1tqvaCgkFb8cCA/edit?usp=sharing"",""เลย!J380"")"),2197.0225)</f>
        <v>2197.0225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IFERROR(__xludf.DUMMYFUNCTION("IMPORTRANGE(""https://docs.google.com/spreadsheets/d/1XL5vhW3sbDhbH9Cz0tuDiY8C3ctxq1tqvaCgkFb8cCA/edit?usp=sharing"",""เลย!I381"")"),0)</f>
        <v>0</v>
      </c>
      <c r="J486" s="190">
        <f ca="1">IFERROR(__xludf.DUMMYFUNCTION("IMPORTRANGE(""https://docs.google.com/spreadsheets/d/1XL5vhW3sbDhbH9Cz0tuDiY8C3ctxq1tqvaCgkFb8cCA/edit?usp=sharing"",""เลย!J381"")"),99)</f>
        <v>99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IFERROR(__xludf.DUMMYFUNCTION("IMPORTRANGE(""https://docs.google.com/spreadsheets/d/1XL5vhW3sbDhbH9Cz0tuDiY8C3ctxq1tqvaCgkFb8cCA/edit?usp=sharing"",""เลย!J382"")"),1237.34)</f>
        <v>1237.3399999999999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IFERROR(__xludf.DUMMYFUNCTION("IMPORTRANGE(""https://docs.google.com/spreadsheets/d/1XL5vhW3sbDhbH9Cz0tuDiY8C3ctxq1tqvaCgkFb8cCA/edit?usp=sharing"",""เลย!J383"")"),134)</f>
        <v>134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IFERROR(__xludf.DUMMYFUNCTION("IMPORTRANGE(""https://docs.google.com/spreadsheets/d/1XL5vhW3sbDhbH9Cz0tuDiY8C3ctxq1tqvaCgkFb8cCA/edit?usp=sharing"",""เลย!I384"")"),0)</f>
        <v>0</v>
      </c>
      <c r="J489" s="190">
        <f ca="1">IFERROR(__xludf.DUMMYFUNCTION("IMPORTRANGE(""https://docs.google.com/spreadsheets/d/1XL5vhW3sbDhbH9Cz0tuDiY8C3ctxq1tqvaCgkFb8cCA/edit?usp=sharing"",""เลย!J384"")"),1220.8725)</f>
        <v>1220.8724999999999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IFERROR(__xludf.DUMMYFUNCTION("IMPORTRANGE(""https://docs.google.com/spreadsheets/d/1XL5vhW3sbDhbH9Cz0tuDiY8C3ctxq1tqvaCgkFb8cCA/edit?usp=sharing"",""เลย!I385"")"),0)</f>
        <v>0</v>
      </c>
      <c r="J490" s="190">
        <f ca="1">IFERROR(__xludf.DUMMYFUNCTION("IMPORTRANGE(""https://docs.google.com/spreadsheets/d/1XL5vhW3sbDhbH9Cz0tuDiY8C3ctxq1tqvaCgkFb8cCA/edit?usp=sharing"",""เลย!J385"")"),133)</f>
        <v>133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IFERROR(__xludf.DUMMYFUNCTION("IMPORTRANGE(""https://docs.google.com/spreadsheets/d/1XL5vhW3sbDhbH9Cz0tuDiY8C3ctxq1tqvaCgkFb8cCA/edit?usp=sharing"",""เลย!I386"")"),0)</f>
        <v>0</v>
      </c>
      <c r="J491" s="190">
        <f ca="1">IFERROR(__xludf.DUMMYFUNCTION("IMPORTRANGE(""https://docs.google.com/spreadsheets/d/1XL5vhW3sbDhbH9Cz0tuDiY8C3ctxq1tqvaCgkFb8cCA/edit?usp=sharing"",""เลย!J386"")"),16.4675)</f>
        <v>16.467500000000001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IFERROR(__xludf.DUMMYFUNCTION("IMPORTRANGE(""https://docs.google.com/spreadsheets/d/1XL5vhW3sbDhbH9Cz0tuDiY8C3ctxq1tqvaCgkFb8cCA/edit?usp=sharing"",""เลย!I387"")"),0)</f>
        <v>0</v>
      </c>
      <c r="J492" s="190">
        <f ca="1">IFERROR(__xludf.DUMMYFUNCTION("IMPORTRANGE(""https://docs.google.com/spreadsheets/d/1XL5vhW3sbDhbH9Cz0tuDiY8C3ctxq1tqvaCgkFb8cCA/edit?usp=sharing"",""เลย!J387"")"),1)</f>
        <v>1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IFERROR(__xludf.DUMMYFUNCTION("IMPORTRANGE(""https://docs.google.com/spreadsheets/d/1XL5vhW3sbDhbH9Cz0tuDiY8C3ctxq1tqvaCgkFb8cCA/edit?usp=sharing"",""เลย!I388"")"),0)</f>
        <v>0</v>
      </c>
      <c r="J493" s="190">
        <f ca="1">IFERROR(__xludf.DUMMYFUNCTION("IMPORTRANGE(""https://docs.google.com/spreadsheets/d/1XL5vhW3sbDhbH9Cz0tuDiY8C3ctxq1tqvaCgkFb8cCA/edit?usp=sharing"",""เลย!J388"")"),0)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165">
        <f t="shared" ca="1" si="117"/>
        <v>100.06942752740561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IFERROR(__xludf.DUMMYFUNCTION("IMPORTRANGE(""https://docs.google.com/spreadsheets/d/1XL5vhW3sbDhbH9Cz0tuDiY8C3ctxq1tqvaCgkFb8cCA/edit?usp=sharing"",""เลย!I395"")"),0)</f>
        <v>0</v>
      </c>
      <c r="J500" s="164">
        <f ca="1">IFERROR(__xludf.DUMMYFUNCTION("IMPORTRANGE(""https://docs.google.com/spreadsheets/d/1XL5vhW3sbDhbH9Cz0tuDiY8C3ctxq1tqvaCgkFb8cCA/edit?usp=sharing"",""เลย!J395"")"),1642)</f>
        <v>1642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IFERROR(__xludf.DUMMYFUNCTION("IMPORTRANGE(""https://docs.google.com/spreadsheets/d/1XL5vhW3sbDhbH9Cz0tuDiY8C3ctxq1tqvaCgkFb8cCA/edit?usp=sharing"",""เลย!I396"")"),0)</f>
        <v>0</v>
      </c>
      <c r="J501" s="164">
        <f ca="1">IFERROR(__xludf.DUMMYFUNCTION("IMPORTRANGE(""https://docs.google.com/spreadsheets/d/1XL5vhW3sbDhbH9Cz0tuDiY8C3ctxq1tqvaCgkFb8cCA/edit?usp=sharing"",""เลย!J396"")"),121)</f>
        <v>121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IFERROR(__xludf.DUMMYFUNCTION("IMPORTRANGE(""https://docs.google.com/spreadsheets/d/1XL5vhW3sbDhbH9Cz0tuDiY8C3ctxq1tqvaCgkFb8cCA/edit?usp=sharing"",""เลย!I397"")"),0)</f>
        <v>0</v>
      </c>
      <c r="J502" s="190">
        <f ca="1">IFERROR(__xludf.DUMMYFUNCTION("IMPORTRANGE(""https://docs.google.com/spreadsheets/d/1XL5vhW3sbDhbH9Cz0tuDiY8C3ctxq1tqvaCgkFb8cCA/edit?usp=sharing"",""เลย!J397"")"),110)</f>
        <v>110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IFERROR(__xludf.DUMMYFUNCTION("IMPORTRANGE(""https://docs.google.com/spreadsheets/d/1XL5vhW3sbDhbH9Cz0tuDiY8C3ctxq1tqvaCgkFb8cCA/edit?usp=sharing"",""เลย!I398"")"),0)</f>
        <v>0</v>
      </c>
      <c r="J503" s="199">
        <f ca="1">IFERROR(__xludf.DUMMYFUNCTION("IMPORTRANGE(""https://docs.google.com/spreadsheets/d/1XL5vhW3sbDhbH9Cz0tuDiY8C3ctxq1tqvaCgkFb8cCA/edit?usp=sharing"",""เลย!J398"")"),13)</f>
        <v>13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IFERROR(__xludf.DUMMYFUNCTION("IMPORTRANGE(""https://docs.google.com/spreadsheets/d/1XL5vhW3sbDhbH9Cz0tuDiY8C3ctxq1tqvaCgkFb8cCA/edit?usp=sharing"",""เลย!I399"")"),0)</f>
        <v>0</v>
      </c>
      <c r="J504" s="190">
        <f ca="1">IFERROR(__xludf.DUMMYFUNCTION("IMPORTRANGE(""https://docs.google.com/spreadsheets/d/1XL5vhW3sbDhbH9Cz0tuDiY8C3ctxq1tqvaCgkFb8cCA/edit?usp=sharing"",""เลย!J399"")"),1532)</f>
        <v>1532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IFERROR(__xludf.DUMMYFUNCTION("IMPORTRANGE(""https://docs.google.com/spreadsheets/d/1XL5vhW3sbDhbH9Cz0tuDiY8C3ctxq1tqvaCgkFb8cCA/edit?usp=sharing"",""เลย!I400"")"),0)</f>
        <v>0</v>
      </c>
      <c r="J505" s="199">
        <f ca="1">IFERROR(__xludf.DUMMYFUNCTION("IMPORTRANGE(""https://docs.google.com/spreadsheets/d/1XL5vhW3sbDhbH9Cz0tuDiY8C3ctxq1tqvaCgkFb8cCA/edit?usp=sharing"",""เลย!J400"")"),108)</f>
        <v>108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IFERROR(__xludf.DUMMYFUNCTION("IMPORTRANGE(""https://docs.google.com/spreadsheets/d/1XL5vhW3sbDhbH9Cz0tuDiY8C3ctxq1tqvaCgkFb8cCA/edit?usp=sharing"",""เลย!I401"")"),0)</f>
        <v>0</v>
      </c>
      <c r="J506" s="190">
        <f ca="1">IFERROR(__xludf.DUMMYFUNCTION("IMPORTRANGE(""https://docs.google.com/spreadsheets/d/1XL5vhW3sbDhbH9Cz0tuDiY8C3ctxq1tqvaCgkFb8cCA/edit?usp=sharing"",""เลย!J401"")"),0)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IFERROR(__xludf.DUMMYFUNCTION("IMPORTRANGE(""https://docs.google.com/spreadsheets/d/1XL5vhW3sbDhbH9Cz0tuDiY8C3ctxq1tqvaCgkFb8cCA/edit?usp=sharing"",""เลย!I402"")"),0)</f>
        <v>0</v>
      </c>
      <c r="J507" s="199">
        <f ca="1">IFERROR(__xludf.DUMMYFUNCTION("IMPORTRANGE(""https://docs.google.com/spreadsheets/d/1XL5vhW3sbDhbH9Cz0tuDiY8C3ctxq1tqvaCgkFb8cCA/edit?usp=sharing"",""เลย!J402"")"),0)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IFERROR(__xludf.DUMMYFUNCTION("IMPORTRANGE(""https://docs.google.com/spreadsheets/d/1XL5vhW3sbDhbH9Cz0tuDiY8C3ctxq1tqvaCgkFb8cCA/edit?usp=sharing"",""เลย!I403"")"),0)</f>
        <v>0</v>
      </c>
      <c r="J508" s="164">
        <f ca="1">IFERROR(__xludf.DUMMYFUNCTION("IMPORTRANGE(""https://docs.google.com/spreadsheets/d/1XL5vhW3sbDhbH9Cz0tuDiY8C3ctxq1tqvaCgkFb8cCA/edit?usp=sharing"",""เลย!J403"")"),0.38)</f>
        <v>0.38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IFERROR(__xludf.DUMMYFUNCTION("IMPORTRANGE(""https://docs.google.com/spreadsheets/d/1XL5vhW3sbDhbH9Cz0tuDiY8C3ctxq1tqvaCgkFb8cCA/edit?usp=sharing"",""เลย!I404"")"),0)</f>
        <v>0</v>
      </c>
      <c r="J509" s="164">
        <f ca="1">IFERROR(__xludf.DUMMYFUNCTION("IMPORTRANGE(""https://docs.google.com/spreadsheets/d/1XL5vhW3sbDhbH9Cz0tuDiY8C3ctxq1tqvaCgkFb8cCA/edit?usp=sharing"",""เลย!J404"")"),1)</f>
        <v>1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IFERROR(__xludf.DUMMYFUNCTION("IMPORTRANGE(""https://docs.google.com/spreadsheets/d/1XL5vhW3sbDhbH9Cz0tuDiY8C3ctxq1tqvaCgkFb8cCA/edit?usp=sharing"",""เลย!I405"")"),0)</f>
        <v>0</v>
      </c>
      <c r="J510" s="199">
        <f ca="1">IFERROR(__xludf.DUMMYFUNCTION("IMPORTRANGE(""https://docs.google.com/spreadsheets/d/1XL5vhW3sbDhbH9Cz0tuDiY8C3ctxq1tqvaCgkFb8cCA/edit?usp=sharing"",""เลย!J405"")"),0)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IFERROR(__xludf.DUMMYFUNCTION("IMPORTRANGE(""https://docs.google.com/spreadsheets/d/1XL5vhW3sbDhbH9Cz0tuDiY8C3ctxq1tqvaCgkFb8cCA/edit?usp=sharing"",""เลย!I406"")"),0)</f>
        <v>0</v>
      </c>
      <c r="J511" s="199">
        <f ca="1">IFERROR(__xludf.DUMMYFUNCTION("IMPORTRANGE(""https://docs.google.com/spreadsheets/d/1XL5vhW3sbDhbH9Cz0tuDiY8C3ctxq1tqvaCgkFb8cCA/edit?usp=sharing"",""เลย!J406"")"),0)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IFERROR(__xludf.DUMMYFUNCTION("IMPORTRANGE(""https://docs.google.com/spreadsheets/d/1XL5vhW3sbDhbH9Cz0tuDiY8C3ctxq1tqvaCgkFb8cCA/edit?usp=sharing"",""เลย!I407"")"),0)</f>
        <v>0</v>
      </c>
      <c r="J512" s="199">
        <f ca="1">IFERROR(__xludf.DUMMYFUNCTION("IMPORTRANGE(""https://docs.google.com/spreadsheets/d/1XL5vhW3sbDhbH9Cz0tuDiY8C3ctxq1tqvaCgkFb8cCA/edit?usp=sharing"",""เลย!J407"")"),0.38)</f>
        <v>0.38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IFERROR(__xludf.DUMMYFUNCTION("IMPORTRANGE(""https://docs.google.com/spreadsheets/d/1XL5vhW3sbDhbH9Cz0tuDiY8C3ctxq1tqvaCgkFb8cCA/edit?usp=sharing"",""เลย!I408"")"),0)</f>
        <v>0</v>
      </c>
      <c r="J513" s="199">
        <f ca="1">IFERROR(__xludf.DUMMYFUNCTION("IMPORTRANGE(""https://docs.google.com/spreadsheets/d/1XL5vhW3sbDhbH9Cz0tuDiY8C3ctxq1tqvaCgkFb8cCA/edit?usp=sharing"",""เลย!J408"")"),1)</f>
        <v>1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IFERROR(__xludf.DUMMYFUNCTION("IMPORTRANGE(""https://docs.google.com/spreadsheets/d/1XL5vhW3sbDhbH9Cz0tuDiY8C3ctxq1tqvaCgkFb8cCA/edit?usp=sharing"",""เลย!I409"")"),0)</f>
        <v>0</v>
      </c>
      <c r="J514" s="199">
        <f ca="1">IFERROR(__xludf.DUMMYFUNCTION("IMPORTRANGE(""https://docs.google.com/spreadsheets/d/1XL5vhW3sbDhbH9Cz0tuDiY8C3ctxq1tqvaCgkFb8cCA/edit?usp=sharing"",""เลย!J409"")"),0.76)</f>
        <v>0.76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IFERROR(__xludf.DUMMYFUNCTION("IMPORTRANGE(""https://docs.google.com/spreadsheets/d/1XL5vhW3sbDhbH9Cz0tuDiY8C3ctxq1tqvaCgkFb8cCA/edit?usp=sharing"",""เลย!I410"")"),0)</f>
        <v>0</v>
      </c>
      <c r="J515" s="199">
        <f ca="1">IFERROR(__xludf.DUMMYFUNCTION("IMPORTRANGE(""https://docs.google.com/spreadsheets/d/1XL5vhW3sbDhbH9Cz0tuDiY8C3ctxq1tqvaCgkFb8cCA/edit?usp=sharing"",""เลย!J410"")"),1)</f>
        <v>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IFERROR(__xludf.DUMMYFUNCTION("IMPORTRANGE(""https://docs.google.com/spreadsheets/d/1XL5vhW3sbDhbH9Cz0tuDiY8C3ctxq1tqvaCgkFb8cCA/edit?usp=sharing"",""เลย!I412"")"),0)</f>
        <v>0</v>
      </c>
      <c r="J517" s="284">
        <f ca="1">IFERROR(__xludf.DUMMYFUNCTION("IMPORTRANGE(""https://docs.google.com/spreadsheets/d/1XL5vhW3sbDhbH9Cz0tuDiY8C3ctxq1tqvaCgkFb8cCA/edit?usp=sharing"",""เลย!J412"")"),0)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IFERROR(__xludf.DUMMYFUNCTION("IMPORTRANGE(""https://docs.google.com/spreadsheets/d/1XL5vhW3sbDhbH9Cz0tuDiY8C3ctxq1tqvaCgkFb8cCA/edit?usp=sharing"",""เลย!I413"")"),0)</f>
        <v>0</v>
      </c>
      <c r="J518" s="284">
        <f ca="1">IFERROR(__xludf.DUMMYFUNCTION("IMPORTRANGE(""https://docs.google.com/spreadsheets/d/1XL5vhW3sbDhbH9Cz0tuDiY8C3ctxq1tqvaCgkFb8cCA/edit?usp=sharing"",""เลย!J413"")"),0)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IFERROR(__xludf.DUMMYFUNCTION("IMPORTRANGE(""https://docs.google.com/spreadsheets/d/1XL5vhW3sbDhbH9Cz0tuDiY8C3ctxq1tqvaCgkFb8cCA/edit?usp=sharing"",""เลย!I414"")"),0)</f>
        <v>0</v>
      </c>
      <c r="J519" s="189">
        <f ca="1">IFERROR(__xludf.DUMMYFUNCTION("IMPORTRANGE(""https://docs.google.com/spreadsheets/d/1XL5vhW3sbDhbH9Cz0tuDiY8C3ctxq1tqvaCgkFb8cCA/edit?usp=sharing"",""เลย!J414"")"),0)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IFERROR(__xludf.DUMMYFUNCTION("IMPORTRANGE(""https://docs.google.com/spreadsheets/d/1XL5vhW3sbDhbH9Cz0tuDiY8C3ctxq1tqvaCgkFb8cCA/edit?usp=sharing"",""เลย!I415"")"),0)</f>
        <v>0</v>
      </c>
      <c r="J520" s="189">
        <f ca="1">IFERROR(__xludf.DUMMYFUNCTION("IMPORTRANGE(""https://docs.google.com/spreadsheets/d/1XL5vhW3sbDhbH9Cz0tuDiY8C3ctxq1tqvaCgkFb8cCA/edit?usp=sharing"",""เลย!J415"")"),0)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IFERROR(__xludf.DUMMYFUNCTION("IMPORTRANGE(""https://docs.google.com/spreadsheets/d/1XL5vhW3sbDhbH9Cz0tuDiY8C3ctxq1tqvaCgkFb8cCA/edit?usp=sharing"",""เลย!I416"")"),0)</f>
        <v>0</v>
      </c>
      <c r="J521" s="189">
        <f ca="1">IFERROR(__xludf.DUMMYFUNCTION("IMPORTRANGE(""https://docs.google.com/spreadsheets/d/1XL5vhW3sbDhbH9Cz0tuDiY8C3ctxq1tqvaCgkFb8cCA/edit?usp=sharing"",""เลย!J416"")"),0)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IFERROR(__xludf.DUMMYFUNCTION("IMPORTRANGE(""https://docs.google.com/spreadsheets/d/1XL5vhW3sbDhbH9Cz0tuDiY8C3ctxq1tqvaCgkFb8cCA/edit?usp=sharing"",""เลย!I417"")"),0)</f>
        <v>0</v>
      </c>
      <c r="J522" s="189">
        <f ca="1">IFERROR(__xludf.DUMMYFUNCTION("IMPORTRANGE(""https://docs.google.com/spreadsheets/d/1XL5vhW3sbDhbH9Cz0tuDiY8C3ctxq1tqvaCgkFb8cCA/edit?usp=sharing"",""เลย!J417"")"),0)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IFERROR(__xludf.DUMMYFUNCTION("IMPORTRANGE(""https://docs.google.com/spreadsheets/d/1XL5vhW3sbDhbH9Cz0tuDiY8C3ctxq1tqvaCgkFb8cCA/edit?usp=sharing"",""เลย!I418"")"),0)</f>
        <v>0</v>
      </c>
      <c r="J523" s="189">
        <f ca="1">IFERROR(__xludf.DUMMYFUNCTION("IMPORTRANGE(""https://docs.google.com/spreadsheets/d/1XL5vhW3sbDhbH9Cz0tuDiY8C3ctxq1tqvaCgkFb8cCA/edit?usp=sharing"",""เลย!J418"")"),0)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IFERROR(__xludf.DUMMYFUNCTION("IMPORTRANGE(""https://docs.google.com/spreadsheets/d/1XL5vhW3sbDhbH9Cz0tuDiY8C3ctxq1tqvaCgkFb8cCA/edit?usp=sharing"",""เลย!I419"")"),0)</f>
        <v>0</v>
      </c>
      <c r="J524" s="189">
        <f ca="1">IFERROR(__xludf.DUMMYFUNCTION("IMPORTRANGE(""https://docs.google.com/spreadsheets/d/1XL5vhW3sbDhbH9Cz0tuDiY8C3ctxq1tqvaCgkFb8cCA/edit?usp=sharing"",""เลย!J419"")"),0)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IFERROR(__xludf.DUMMYFUNCTION("IMPORTRANGE(""https://docs.google.com/spreadsheets/d/1XL5vhW3sbDhbH9Cz0tuDiY8C3ctxq1tqvaCgkFb8cCA/edit?usp=sharing"",""เลย!I420"")"),0)</f>
        <v>0</v>
      </c>
      <c r="J525" s="284">
        <f ca="1">IFERROR(__xludf.DUMMYFUNCTION("IMPORTRANGE(""https://docs.google.com/spreadsheets/d/1XL5vhW3sbDhbH9Cz0tuDiY8C3ctxq1tqvaCgkFb8cCA/edit?usp=sharing"",""เลย!J420"")"),0)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IFERROR(__xludf.DUMMYFUNCTION("IMPORTRANGE(""https://docs.google.com/spreadsheets/d/1XL5vhW3sbDhbH9Cz0tuDiY8C3ctxq1tqvaCgkFb8cCA/edit?usp=sharing"",""เลย!I421"")"),0)</f>
        <v>0</v>
      </c>
      <c r="J526" s="284">
        <f ca="1">IFERROR(__xludf.DUMMYFUNCTION("IMPORTRANGE(""https://docs.google.com/spreadsheets/d/1XL5vhW3sbDhbH9Cz0tuDiY8C3ctxq1tqvaCgkFb8cCA/edit?usp=sharing"",""เลย!J421"")"),0)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IFERROR(__xludf.DUMMYFUNCTION("IMPORTRANGE(""https://docs.google.com/spreadsheets/d/1XL5vhW3sbDhbH9Cz0tuDiY8C3ctxq1tqvaCgkFb8cCA/edit?usp=sharing"",""เลย!I422"")"),0)</f>
        <v>0</v>
      </c>
      <c r="J527" s="199">
        <f ca="1">IFERROR(__xludf.DUMMYFUNCTION("IMPORTRANGE(""https://docs.google.com/spreadsheets/d/1XL5vhW3sbDhbH9Cz0tuDiY8C3ctxq1tqvaCgkFb8cCA/edit?usp=sharing"",""เลย!J422"")"),0)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IFERROR(__xludf.DUMMYFUNCTION("IMPORTRANGE(""https://docs.google.com/spreadsheets/d/1XL5vhW3sbDhbH9Cz0tuDiY8C3ctxq1tqvaCgkFb8cCA/edit?usp=sharing"",""เลย!I423"")"),0)</f>
        <v>0</v>
      </c>
      <c r="J528" s="199">
        <f ca="1">IFERROR(__xludf.DUMMYFUNCTION("IMPORTRANGE(""https://docs.google.com/spreadsheets/d/1XL5vhW3sbDhbH9Cz0tuDiY8C3ctxq1tqvaCgkFb8cCA/edit?usp=sharing"",""เลย!J423"")"),0)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IFERROR(__xludf.DUMMYFUNCTION("IMPORTRANGE(""https://docs.google.com/spreadsheets/d/1XL5vhW3sbDhbH9Cz0tuDiY8C3ctxq1tqvaCgkFb8cCA/edit?usp=sharing"",""เลย!I424"")"),0)</f>
        <v>0</v>
      </c>
      <c r="J529" s="199">
        <f ca="1">IFERROR(__xludf.DUMMYFUNCTION("IMPORTRANGE(""https://docs.google.com/spreadsheets/d/1XL5vhW3sbDhbH9Cz0tuDiY8C3ctxq1tqvaCgkFb8cCA/edit?usp=sharing"",""เลย!J424"")"),0)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IFERROR(__xludf.DUMMYFUNCTION("IMPORTRANGE(""https://docs.google.com/spreadsheets/d/1XL5vhW3sbDhbH9Cz0tuDiY8C3ctxq1tqvaCgkFb8cCA/edit?usp=sharing"",""เลย!I425"")"),0)</f>
        <v>0</v>
      </c>
      <c r="J530" s="199">
        <f ca="1">IFERROR(__xludf.DUMMYFUNCTION("IMPORTRANGE(""https://docs.google.com/spreadsheets/d/1XL5vhW3sbDhbH9Cz0tuDiY8C3ctxq1tqvaCgkFb8cCA/edit?usp=sharing"",""เลย!J425"")"),0)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IFERROR(__xludf.DUMMYFUNCTION("IMPORTRANGE(""https://docs.google.com/spreadsheets/d/1XL5vhW3sbDhbH9Cz0tuDiY8C3ctxq1tqvaCgkFb8cCA/edit?usp=sharing"",""เลย!I426"")"),0)</f>
        <v>0</v>
      </c>
      <c r="J531" s="199">
        <f ca="1">IFERROR(__xludf.DUMMYFUNCTION("IMPORTRANGE(""https://docs.google.com/spreadsheets/d/1XL5vhW3sbDhbH9Cz0tuDiY8C3ctxq1tqvaCgkFb8cCA/edit?usp=sharing"",""เลย!J426"")"),0)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IFERROR(__xludf.DUMMYFUNCTION("IMPORTRANGE(""https://docs.google.com/spreadsheets/d/1XL5vhW3sbDhbH9Cz0tuDiY8C3ctxq1tqvaCgkFb8cCA/edit?usp=sharing"",""เลย!M428"")"),2440)</f>
        <v>2440</v>
      </c>
      <c r="O533" s="412">
        <f t="shared" ref="O533:O537" ca="1" si="118">+IF(L533&gt;0,N533*100/L533,0)</f>
        <v>7.105416423995341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IFERROR(__xludf.DUMMYFUNCTION("IMPORTRANGE(""https://docs.google.com/spreadsheets/d/1XL5vhW3sbDhbH9Cz0tuDiY8C3ctxq1tqvaCgkFb8cCA/edit?usp=sharing"",""เลย!L429"")"),0)</f>
        <v>0</v>
      </c>
      <c r="M534" s="166"/>
      <c r="N534" s="170">
        <f ca="1">IFERROR(__xludf.DUMMYFUNCTION("IMPORTRANGE(""https://docs.google.com/spreadsheets/d/1XL5vhW3sbDhbH9Cz0tuDiY8C3ctxq1tqvaCgkFb8cCA/edit?usp=sharing"",""เลย!M429"")"),0)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IFERROR(__xludf.DUMMYFUNCTION("IMPORTRANGE(""https://docs.google.com/spreadsheets/d/1XL5vhW3sbDhbH9Cz0tuDiY8C3ctxq1tqvaCgkFb8cCA/edit?usp=sharing"",""เลย!L430"")"),34340)</f>
        <v>34340</v>
      </c>
      <c r="M535" s="167"/>
      <c r="N535" s="170">
        <f ca="1">IFERROR(__xludf.DUMMYFUNCTION("IMPORTRANGE(""https://docs.google.com/spreadsheets/d/1XL5vhW3sbDhbH9Cz0tuDiY8C3ctxq1tqvaCgkFb8cCA/edit?usp=sharing"",""เลย!M430"")"),2440)</f>
        <v>2440</v>
      </c>
      <c r="O535" s="170">
        <f t="shared" ca="1" si="118"/>
        <v>7.105416423995341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IFERROR(__xludf.DUMMYFUNCTION("IMPORTRANGE(""https://docs.google.com/spreadsheets/d/1XL5vhW3sbDhbH9Cz0tuDiY8C3ctxq1tqvaCgkFb8cCA/edit?usp=sharing"",""เลย!L431"")"),0)</f>
        <v>0</v>
      </c>
      <c r="M536" s="170"/>
      <c r="N536" s="170">
        <f ca="1">IFERROR(__xludf.DUMMYFUNCTION("IMPORTRANGE(""https://docs.google.com/spreadsheets/d/1XL5vhW3sbDhbH9Cz0tuDiY8C3ctxq1tqvaCgkFb8cCA/edit?usp=sharing"",""เลย!M431"")"),0)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IFERROR(__xludf.DUMMYFUNCTION("IMPORTRANGE(""https://docs.google.com/spreadsheets/d/1XL5vhW3sbDhbH9Cz0tuDiY8C3ctxq1tqvaCgkFb8cCA/edit?usp=sharing"",""เลย!L432"")"),34340)</f>
        <v>34340</v>
      </c>
      <c r="M537" s="170"/>
      <c r="N537" s="170">
        <f ca="1">IFERROR(__xludf.DUMMYFUNCTION("IMPORTRANGE(""https://docs.google.com/spreadsheets/d/1XL5vhW3sbDhbH9Cz0tuDiY8C3ctxq1tqvaCgkFb8cCA/edit?usp=sharing"",""เลย!M432"")"),2440)</f>
        <v>2440</v>
      </c>
      <c r="O537" s="170">
        <f t="shared" ca="1" si="118"/>
        <v>7.105416423995341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IFERROR(__xludf.DUMMYFUNCTION("IMPORTRANGE(""https://docs.google.com/spreadsheets/d/1XL5vhW3sbDhbH9Cz0tuDiY8C3ctxq1tqvaCgkFb8cCA/edit?usp=sharing"",""เลย!M433"")"),0)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IFERROR(__xludf.DUMMYFUNCTION("IMPORTRANGE(""https://docs.google.com/spreadsheets/d/1XL5vhW3sbDhbH9Cz0tuDiY8C3ctxq1tqvaCgkFb8cCA/edit?usp=sharing"",""เลย!M434"")"),0)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IFERROR(__xludf.DUMMYFUNCTION("IMPORTRANGE(""https://docs.google.com/spreadsheets/d/1XL5vhW3sbDhbH9Cz0tuDiY8C3ctxq1tqvaCgkFb8cCA/edit?usp=sharing"",""เลย!M435"")"),0)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IFERROR(__xludf.DUMMYFUNCTION("IMPORTRANGE(""https://docs.google.com/spreadsheets/d/1XL5vhW3sbDhbH9Cz0tuDiY8C3ctxq1tqvaCgkFb8cCA/edit?usp=sharing"",""เลย!M436"")"),2440)</f>
        <v>2440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IFERROR(__xludf.DUMMYFUNCTION("IMPORTRANGE(""https://docs.google.com/spreadsheets/d/1XL5vhW3sbDhbH9Cz0tuDiY8C3ctxq1tqvaCgkFb8cCA/edit?usp=sharing"",""เลย!J438"")"),0)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IFERROR(__xludf.DUMMYFUNCTION("IMPORTRANGE(""https://docs.google.com/spreadsheets/d/1XL5vhW3sbDhbH9Cz0tuDiY8C3ctxq1tqvaCgkFb8cCA/edit?usp=sharing"",""เลย!J439"")"),1)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IFERROR(__xludf.DUMMYFUNCTION("IMPORTRANGE(""https://docs.google.com/spreadsheets/d/1XL5vhW3sbDhbH9Cz0tuDiY8C3ctxq1tqvaCgkFb8cCA/edit?usp=sharing"",""เลย!J440"")"),1)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IFERROR(__xludf.DUMMYFUNCTION("IMPORTRANGE(""https://docs.google.com/spreadsheets/d/1XL5vhW3sbDhbH9Cz0tuDiY8C3ctxq1tqvaCgkFb8cCA/edit?usp=sharing"",""เลย!J441"")"),0)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IFERROR(__xludf.DUMMYFUNCTION("IMPORTRANGE(""https://docs.google.com/spreadsheets/d/1XL5vhW3sbDhbH9Cz0tuDiY8C3ctxq1tqvaCgkFb8cCA/edit?usp=sharing"",""เลย!I442"")"),22)</f>
        <v>22</v>
      </c>
      <c r="J547" s="190">
        <f ca="1">IFERROR(__xludf.DUMMYFUNCTION("IMPORTRANGE(""https://docs.google.com/spreadsheets/d/1XL5vhW3sbDhbH9Cz0tuDiY8C3ctxq1tqvaCgkFb8cCA/edit?usp=sharing"",""เลย!J442"")"),0)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IFERROR(__xludf.DUMMYFUNCTION("IMPORTRANGE(""https://docs.google.com/spreadsheets/d/1XL5vhW3sbDhbH9Cz0tuDiY8C3ctxq1tqvaCgkFb8cCA/edit?usp=sharing"",""เลย!J166"")"),0)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IFERROR(__xludf.DUMMYFUNCTION("IMPORTRANGE(""https://docs.google.com/spreadsheets/d/1XL5vhW3sbDhbH9Cz0tuDiY8C3ctxq1tqvaCgkFb8cCA/edit?usp=sharing"",""เลย!J444"")"),0)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IFERROR(__xludf.DUMMYFUNCTION("IMPORTRANGE(""https://docs.google.com/spreadsheets/d/1XL5vhW3sbDhbH9Cz0tuDiY8C3ctxq1tqvaCgkFb8cCA/edit?usp=sharing"",""เลย!M446"")"),65184)</f>
        <v>65184</v>
      </c>
      <c r="O551" s="412">
        <f t="shared" ref="O551:O555" ca="1" si="120">+IF(L551&gt;0,N551*100/L551,0)</f>
        <v>21.027096774193549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IFERROR(__xludf.DUMMYFUNCTION("IMPORTRANGE(""https://docs.google.com/spreadsheets/d/1XL5vhW3sbDhbH9Cz0tuDiY8C3ctxq1tqvaCgkFb8cCA/edit?usp=sharing"",""เลย!L447"")"),0)</f>
        <v>0</v>
      </c>
      <c r="M552" s="166"/>
      <c r="N552" s="170">
        <f ca="1">IFERROR(__xludf.DUMMYFUNCTION("IMPORTRANGE(""https://docs.google.com/spreadsheets/d/1XL5vhW3sbDhbH9Cz0tuDiY8C3ctxq1tqvaCgkFb8cCA/edit?usp=sharing"",""เลย!M447"")"),0)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IFERROR(__xludf.DUMMYFUNCTION("IMPORTRANGE(""https://docs.google.com/spreadsheets/d/1XL5vhW3sbDhbH9Cz0tuDiY8C3ctxq1tqvaCgkFb8cCA/edit?usp=sharing"",""เลย!L448"")"),310000)</f>
        <v>310000</v>
      </c>
      <c r="M553" s="167"/>
      <c r="N553" s="170">
        <f ca="1">IFERROR(__xludf.DUMMYFUNCTION("IMPORTRANGE(""https://docs.google.com/spreadsheets/d/1XL5vhW3sbDhbH9Cz0tuDiY8C3ctxq1tqvaCgkFb8cCA/edit?usp=sharing"",""เลย!M448"")"),65184)</f>
        <v>65184</v>
      </c>
      <c r="O553" s="170">
        <f t="shared" ca="1" si="120"/>
        <v>21.027096774193549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IFERROR(__xludf.DUMMYFUNCTION("IMPORTRANGE(""https://docs.google.com/spreadsheets/d/1XL5vhW3sbDhbH9Cz0tuDiY8C3ctxq1tqvaCgkFb8cCA/edit?usp=sharing"",""เลย!L449"")"),0)</f>
        <v>0</v>
      </c>
      <c r="M554" s="170"/>
      <c r="N554" s="170">
        <f ca="1">IFERROR(__xludf.DUMMYFUNCTION("IMPORTRANGE(""https://docs.google.com/spreadsheets/d/1XL5vhW3sbDhbH9Cz0tuDiY8C3ctxq1tqvaCgkFb8cCA/edit?usp=sharing"",""เลย!M449"")"),0)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IFERROR(__xludf.DUMMYFUNCTION("IMPORTRANGE(""https://docs.google.com/spreadsheets/d/1XL5vhW3sbDhbH9Cz0tuDiY8C3ctxq1tqvaCgkFb8cCA/edit?usp=sharing"",""เลย!L450"")"),310000)</f>
        <v>310000</v>
      </c>
      <c r="M555" s="170"/>
      <c r="N555" s="170">
        <f ca="1">IFERROR(__xludf.DUMMYFUNCTION("IMPORTRANGE(""https://docs.google.com/spreadsheets/d/1XL5vhW3sbDhbH9Cz0tuDiY8C3ctxq1tqvaCgkFb8cCA/edit?usp=sharing"",""เลย!M450"")"),65184)</f>
        <v>65184</v>
      </c>
      <c r="O555" s="170">
        <f t="shared" ca="1" si="120"/>
        <v>21.027096774193549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IFERROR(__xludf.DUMMYFUNCTION("IMPORTRANGE(""https://docs.google.com/spreadsheets/d/1XL5vhW3sbDhbH9Cz0tuDiY8C3ctxq1tqvaCgkFb8cCA/edit?usp=sharing"",""เลย!M451"")"),0)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IFERROR(__xludf.DUMMYFUNCTION("IMPORTRANGE(""https://docs.google.com/spreadsheets/d/1XL5vhW3sbDhbH9Cz0tuDiY8C3ctxq1tqvaCgkFb8cCA/edit?usp=sharing"",""เลย!M452"")"),0)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IFERROR(__xludf.DUMMYFUNCTION("IMPORTRANGE(""https://docs.google.com/spreadsheets/d/1XL5vhW3sbDhbH9Cz0tuDiY8C3ctxq1tqvaCgkFb8cCA/edit?usp=sharing"",""เลย!M453"")"),8764)</f>
        <v>8764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IFERROR(__xludf.DUMMYFUNCTION("IMPORTRANGE(""https://docs.google.com/spreadsheets/d/1XL5vhW3sbDhbH9Cz0tuDiY8C3ctxq1tqvaCgkFb8cCA/edit?usp=sharing"",""เลย!M454"")"),56420)</f>
        <v>56420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IFERROR(__xludf.DUMMYFUNCTION("IMPORTRANGE(""https://docs.google.com/spreadsheets/d/1XL5vhW3sbDhbH9Cz0tuDiY8C3ctxq1tqvaCgkFb8cCA/edit?usp=sharing"",""เลย!I455"")"),5000)</f>
        <v>5000</v>
      </c>
      <c r="J560" s="164">
        <f ca="1">IFERROR(__xludf.DUMMYFUNCTION("IMPORTRANGE(""https://docs.google.com/spreadsheets/d/1XL5vhW3sbDhbH9Cz0tuDiY8C3ctxq1tqvaCgkFb8cCA/edit?usp=sharing"",""เลย!J455"")"),0)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IFERROR(__xludf.DUMMYFUNCTION("IMPORTRANGE(""https://docs.google.com/spreadsheets/d/1XL5vhW3sbDhbH9Cz0tuDiY8C3ctxq1tqvaCgkFb8cCA/edit?usp=sharing"",""เลย!I456"")"),0)</f>
        <v>0</v>
      </c>
      <c r="J561" s="205">
        <f ca="1">IFERROR(__xludf.DUMMYFUNCTION("IMPORTRANGE(""https://docs.google.com/spreadsheets/d/1XL5vhW3sbDhbH9Cz0tuDiY8C3ctxq1tqvaCgkFb8cCA/edit?usp=sharing"",""เลย!J456"")"),0)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IFERROR(__xludf.DUMMYFUNCTION("IMPORTRANGE(""https://docs.google.com/spreadsheets/d/1XL5vhW3sbDhbH9Cz0tuDiY8C3ctxq1tqvaCgkFb8cCA/edit?usp=sharing"",""เลย!I457"")"),0)</f>
        <v>0</v>
      </c>
      <c r="J562" s="205" t="str">
        <f ca="1">IFERROR(__xludf.DUMMYFUNCTION("IMPORTRANGE(""https://docs.google.com/spreadsheets/d/1XL5vhW3sbDhbH9Cz0tuDiY8C3ctxq1tqvaCgkFb8cCA/edit?usp=sharing"",""เลย!J457"")"),"")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IFERROR(__xludf.DUMMYFUNCTION("IMPORTRANGE(""https://docs.google.com/spreadsheets/d/1XL5vhW3sbDhbH9Cz0tuDiY8C3ctxq1tqvaCgkFb8cCA/edit?usp=sharing"",""เลย!I458"")"),0)</f>
        <v>0</v>
      </c>
      <c r="J563" s="189" t="str">
        <f ca="1">IFERROR(__xludf.DUMMYFUNCTION("IMPORTRANGE(""https://docs.google.com/spreadsheets/d/1XL5vhW3sbDhbH9Cz0tuDiY8C3ctxq1tqvaCgkFb8cCA/edit?usp=sharing"",""เลย!J458"")"),"")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IFERROR(__xludf.DUMMYFUNCTION("IMPORTRANGE(""https://docs.google.com/spreadsheets/d/1XL5vhW3sbDhbH9Cz0tuDiY8C3ctxq1tqvaCgkFb8cCA/edit?usp=sharing"",""เลย!J459"")"),2159)</f>
        <v>2159</v>
      </c>
      <c r="K564" s="372">
        <f t="shared" ca="1" si="121"/>
        <v>63.5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IFERROR(__xludf.DUMMYFUNCTION("IMPORTRANGE(""https://docs.google.com/spreadsheets/d/1XL5vhW3sbDhbH9Cz0tuDiY8C3ctxq1tqvaCgkFb8cCA/edit?usp=sharing"",""เลย!M459"")"),40660)</f>
        <v>40660</v>
      </c>
      <c r="O564" s="373">
        <f t="shared" ref="O564:O568" ca="1" si="122">+IF(L564&gt;0,N564*100/L564,0)</f>
        <v>24.672330097087379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IFERROR(__xludf.DUMMYFUNCTION("IMPORTRANGE(""https://docs.google.com/spreadsheets/d/1XL5vhW3sbDhbH9Cz0tuDiY8C3ctxq1tqvaCgkFb8cCA/edit?usp=sharing"",""เลย!L460"")"),0)</f>
        <v>0</v>
      </c>
      <c r="M565" s="166"/>
      <c r="N565" s="170">
        <f ca="1">IFERROR(__xludf.DUMMYFUNCTION("IMPORTRANGE(""https://docs.google.com/spreadsheets/d/1XL5vhW3sbDhbH9Cz0tuDiY8C3ctxq1tqvaCgkFb8cCA/edit?usp=sharing"",""เลย!M460"")"),0)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IFERROR(__xludf.DUMMYFUNCTION("IMPORTRANGE(""https://docs.google.com/spreadsheets/d/1XL5vhW3sbDhbH9Cz0tuDiY8C3ctxq1tqvaCgkFb8cCA/edit?usp=sharing"",""เลย!L461"")"),164800)</f>
        <v>164800</v>
      </c>
      <c r="M566" s="167"/>
      <c r="N566" s="170">
        <f ca="1">IFERROR(__xludf.DUMMYFUNCTION("IMPORTRANGE(""https://docs.google.com/spreadsheets/d/1XL5vhW3sbDhbH9Cz0tuDiY8C3ctxq1tqvaCgkFb8cCA/edit?usp=sharing"",""เลย!M461"")"),40660)</f>
        <v>40660</v>
      </c>
      <c r="O566" s="170">
        <f t="shared" ca="1" si="122"/>
        <v>24.672330097087379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IFERROR(__xludf.DUMMYFUNCTION("IMPORTRANGE(""https://docs.google.com/spreadsheets/d/1XL5vhW3sbDhbH9Cz0tuDiY8C3ctxq1tqvaCgkFb8cCA/edit?usp=sharing"",""เลย!L462"")"),0)</f>
        <v>0</v>
      </c>
      <c r="M567" s="170"/>
      <c r="N567" s="170">
        <f ca="1">IFERROR(__xludf.DUMMYFUNCTION("IMPORTRANGE(""https://docs.google.com/spreadsheets/d/1XL5vhW3sbDhbH9Cz0tuDiY8C3ctxq1tqvaCgkFb8cCA/edit?usp=sharing"",""เลย!M462"")"),0)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IFERROR(__xludf.DUMMYFUNCTION("IMPORTRANGE(""https://docs.google.com/spreadsheets/d/1XL5vhW3sbDhbH9Cz0tuDiY8C3ctxq1tqvaCgkFb8cCA/edit?usp=sharing"",""เลย!L463"")"),164800)</f>
        <v>164800</v>
      </c>
      <c r="M568" s="170"/>
      <c r="N568" s="170">
        <f ca="1">IFERROR(__xludf.DUMMYFUNCTION("IMPORTRANGE(""https://docs.google.com/spreadsheets/d/1XL5vhW3sbDhbH9Cz0tuDiY8C3ctxq1tqvaCgkFb8cCA/edit?usp=sharing"",""เลย!M463"")"),40660)</f>
        <v>40660</v>
      </c>
      <c r="O568" s="170">
        <f t="shared" ca="1" si="122"/>
        <v>24.672330097087379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IFERROR(__xludf.DUMMYFUNCTION("IMPORTRANGE(""https://docs.google.com/spreadsheets/d/1XL5vhW3sbDhbH9Cz0tuDiY8C3ctxq1tqvaCgkFb8cCA/edit?usp=sharing"",""เลย!M464"")"),0)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IFERROR(__xludf.DUMMYFUNCTION("IMPORTRANGE(""https://docs.google.com/spreadsheets/d/1XL5vhW3sbDhbH9Cz0tuDiY8C3ctxq1tqvaCgkFb8cCA/edit?usp=sharing"",""เลย!M465"")"),0)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IFERROR(__xludf.DUMMYFUNCTION("IMPORTRANGE(""https://docs.google.com/spreadsheets/d/1XL5vhW3sbDhbH9Cz0tuDiY8C3ctxq1tqvaCgkFb8cCA/edit?usp=sharing"",""เลย!M466"")"),33000)</f>
        <v>33000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IFERROR(__xludf.DUMMYFUNCTION("IMPORTRANGE(""https://docs.google.com/spreadsheets/d/1XL5vhW3sbDhbH9Cz0tuDiY8C3ctxq1tqvaCgkFb8cCA/edit?usp=sharing"",""เลย!M467"")"),7660)</f>
        <v>7660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IFERROR(__xludf.DUMMYFUNCTION("IMPORTRANGE(""https://docs.google.com/spreadsheets/d/1XL5vhW3sbDhbH9Cz0tuDiY8C3ctxq1tqvaCgkFb8cCA/edit?usp=sharing"",""เลย!J468"")"),2159)</f>
        <v>2159</v>
      </c>
      <c r="K573" s="203">
        <f ca="1">IF(I573&gt;0,J573*100/I573,0)</f>
        <v>63.5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IFERROR(__xludf.DUMMYFUNCTION("IMPORTRANGE(""https://docs.google.com/spreadsheets/d/1XL5vhW3sbDhbH9Cz0tuDiY8C3ctxq1tqvaCgkFb8cCA/edit?usp=sharing"",""เลย!I470"")"),0)</f>
        <v>0</v>
      </c>
      <c r="J575" s="199">
        <f ca="1">IFERROR(__xludf.DUMMYFUNCTION("IMPORTRANGE(""https://docs.google.com/spreadsheets/d/1XL5vhW3sbDhbH9Cz0tuDiY8C3ctxq1tqvaCgkFb8cCA/edit?usp=sharing"",""เลย!J470"")"),3)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IFERROR(__xludf.DUMMYFUNCTION("IMPORTRANGE(""https://docs.google.com/spreadsheets/d/1XL5vhW3sbDhbH9Cz0tuDiY8C3ctxq1tqvaCgkFb8cCA/edit?usp=sharing"",""เลย!I471"")"),0)</f>
        <v>0</v>
      </c>
      <c r="J576" s="199">
        <f ca="1">IFERROR(__xludf.DUMMYFUNCTION("IMPORTRANGE(""https://docs.google.com/spreadsheets/d/1XL5vhW3sbDhbH9Cz0tuDiY8C3ctxq1tqvaCgkFb8cCA/edit?usp=sharing"",""เลย!J471"")"),176)</f>
        <v>176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IFERROR(__xludf.DUMMYFUNCTION("IMPORTRANGE(""https://docs.google.com/spreadsheets/d/1XL5vhW3sbDhbH9Cz0tuDiY8C3ctxq1tqvaCgkFb8cCA/edit?usp=sharing"",""เลย!I472"")"),0)</f>
        <v>0</v>
      </c>
      <c r="J577" s="190">
        <f ca="1">IFERROR(__xludf.DUMMYFUNCTION("IMPORTRANGE(""https://docs.google.com/spreadsheets/d/1XL5vhW3sbDhbH9Cz0tuDiY8C3ctxq1tqvaCgkFb8cCA/edit?usp=sharing"",""เลย!J472"")"),1983)</f>
        <v>1983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IFERROR(__xludf.DUMMYFUNCTION("IMPORTRANGE(""https://docs.google.com/spreadsheets/d/1XL5vhW3sbDhbH9Cz0tuDiY8C3ctxq1tqvaCgkFb8cCA/edit?usp=sharing"",""เลย!I473"")"),0)</f>
        <v>0</v>
      </c>
      <c r="J578" s="199">
        <f ca="1">IFERROR(__xludf.DUMMYFUNCTION("IMPORTRANGE(""https://docs.google.com/spreadsheets/d/1XL5vhW3sbDhbH9Cz0tuDiY8C3ctxq1tqvaCgkFb8cCA/edit?usp=sharing"",""เลย!J473"")"),0)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IFERROR(__xludf.DUMMYFUNCTION("IMPORTRANGE(""https://docs.google.com/spreadsheets/d/1XL5vhW3sbDhbH9Cz0tuDiY8C3ctxq1tqvaCgkFb8cCA/edit?usp=sharing"",""เลย!I474"")"),0)</f>
        <v>0</v>
      </c>
      <c r="J579" s="199">
        <f ca="1">IFERROR(__xludf.DUMMYFUNCTION("IMPORTRANGE(""https://docs.google.com/spreadsheets/d/1XL5vhW3sbDhbH9Cz0tuDiY8C3ctxq1tqvaCgkFb8cCA/edit?usp=sharing"",""เลย!J474"")"),0)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IFERROR(__xludf.DUMMYFUNCTION("IMPORTRANGE(""https://docs.google.com/spreadsheets/d/1XL5vhW3sbDhbH9Cz0tuDiY8C3ctxq1tqvaCgkFb8cCA/edit?usp=sharing"",""เลย!M475"")"),2500)</f>
        <v>2500</v>
      </c>
      <c r="O580" s="373">
        <f t="shared" ref="O580:O584" ca="1" si="124">+IF(L580&gt;0,N580*100/L580,0)</f>
        <v>0.9702708996351781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IFERROR(__xludf.DUMMYFUNCTION("IMPORTRANGE(""https://docs.google.com/spreadsheets/d/1XL5vhW3sbDhbH9Cz0tuDiY8C3ctxq1tqvaCgkFb8cCA/edit?usp=sharing"",""เลย!L476"")"),0)</f>
        <v>0</v>
      </c>
      <c r="M581" s="166"/>
      <c r="N581" s="170">
        <f ca="1">IFERROR(__xludf.DUMMYFUNCTION("IMPORTRANGE(""https://docs.google.com/spreadsheets/d/1XL5vhW3sbDhbH9Cz0tuDiY8C3ctxq1tqvaCgkFb8cCA/edit?usp=sharing"",""เลย!M476"")"),0)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IFERROR(__xludf.DUMMYFUNCTION("IMPORTRANGE(""https://docs.google.com/spreadsheets/d/1XL5vhW3sbDhbH9Cz0tuDiY8C3ctxq1tqvaCgkFb8cCA/edit?usp=sharing"",""เลย!L477"")"),257660)</f>
        <v>257660</v>
      </c>
      <c r="M582" s="167"/>
      <c r="N582" s="170">
        <f ca="1">IFERROR(__xludf.DUMMYFUNCTION("IMPORTRANGE(""https://docs.google.com/spreadsheets/d/1XL5vhW3sbDhbH9Cz0tuDiY8C3ctxq1tqvaCgkFb8cCA/edit?usp=sharing"",""เลย!M477"")"),2500)</f>
        <v>2500</v>
      </c>
      <c r="O582" s="170">
        <f t="shared" ca="1" si="124"/>
        <v>0.9702708996351781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IFERROR(__xludf.DUMMYFUNCTION("IMPORTRANGE(""https://docs.google.com/spreadsheets/d/1XL5vhW3sbDhbH9Cz0tuDiY8C3ctxq1tqvaCgkFb8cCA/edit?usp=sharing"",""เลย!L478"")"),0)</f>
        <v>0</v>
      </c>
      <c r="M583" s="170"/>
      <c r="N583" s="170">
        <f ca="1">IFERROR(__xludf.DUMMYFUNCTION("IMPORTRANGE(""https://docs.google.com/spreadsheets/d/1XL5vhW3sbDhbH9Cz0tuDiY8C3ctxq1tqvaCgkFb8cCA/edit?usp=sharing"",""เลย!M478"")"),0)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IFERROR(__xludf.DUMMYFUNCTION("IMPORTRANGE(""https://docs.google.com/spreadsheets/d/1XL5vhW3sbDhbH9Cz0tuDiY8C3ctxq1tqvaCgkFb8cCA/edit?usp=sharing"",""เลย!L479"")"),257660)</f>
        <v>257660</v>
      </c>
      <c r="M584" s="170"/>
      <c r="N584" s="170">
        <f ca="1">IFERROR(__xludf.DUMMYFUNCTION("IMPORTRANGE(""https://docs.google.com/spreadsheets/d/1XL5vhW3sbDhbH9Cz0tuDiY8C3ctxq1tqvaCgkFb8cCA/edit?usp=sharing"",""เลย!M479"")"),2500)</f>
        <v>2500</v>
      </c>
      <c r="O584" s="170">
        <f t="shared" ca="1" si="124"/>
        <v>0.9702708996351781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IFERROR(__xludf.DUMMYFUNCTION("IMPORTRANGE(""https://docs.google.com/spreadsheets/d/1XL5vhW3sbDhbH9Cz0tuDiY8C3ctxq1tqvaCgkFb8cCA/edit?usp=sharing"",""เลย!M480"")"),0)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IFERROR(__xludf.DUMMYFUNCTION("IMPORTRANGE(""https://docs.google.com/spreadsheets/d/1XL5vhW3sbDhbH9Cz0tuDiY8C3ctxq1tqvaCgkFb8cCA/edit?usp=sharing"",""เลย!M481"")"),0)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IFERROR(__xludf.DUMMYFUNCTION("IMPORTRANGE(""https://docs.google.com/spreadsheets/d/1XL5vhW3sbDhbH9Cz0tuDiY8C3ctxq1tqvaCgkFb8cCA/edit?usp=sharing"",""เลย!M482"")"),0)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IFERROR(__xludf.DUMMYFUNCTION("IMPORTRANGE(""https://docs.google.com/spreadsheets/d/1XL5vhW3sbDhbH9Cz0tuDiY8C3ctxq1tqvaCgkFb8cCA/edit?usp=sharing"",""เลย!M483"")"),2500)</f>
        <v>2500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IFERROR(__xludf.DUMMYFUNCTION("IMPORTRANGE(""https://docs.google.com/spreadsheets/d/1XL5vhW3sbDhbH9Cz0tuDiY8C3ctxq1tqvaCgkFb8cCA/edit?usp=sharing"",""เลย!I484"")"),60)</f>
        <v>60</v>
      </c>
      <c r="J589" s="189">
        <f ca="1">IFERROR(__xludf.DUMMYFUNCTION("IMPORTRANGE(""https://docs.google.com/spreadsheets/d/1XL5vhW3sbDhbH9Cz0tuDiY8C3ctxq1tqvaCgkFb8cCA/edit?usp=sharing"",""เลย!J484"")"),4)</f>
        <v>4</v>
      </c>
      <c r="K589" s="165">
        <f t="shared" ref="K589:K596" ca="1" si="125">IF(I589&gt;0,J589*100/I589,0)</f>
        <v>6.666666666666667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9">
        <f ca="1">IFERROR(__xludf.DUMMYFUNCTION("IMPORTRANGE(""https://docs.google.com/spreadsheets/d/1XL5vhW3sbDhbH9Cz0tuDiY8C3ctxq1tqvaCgkFb8cCA/edit?usp=sharing"",""เลย!J485"")"),1.83)</f>
        <v>1.83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IFERROR(__xludf.DUMMYFUNCTION("IMPORTRANGE(""https://docs.google.com/spreadsheets/d/1XL5vhW3sbDhbH9Cz0tuDiY8C3ctxq1tqvaCgkFb8cCA/edit?usp=sharing"",""เลย!I486"")"),60)</f>
        <v>60</v>
      </c>
      <c r="J591" s="189">
        <f ca="1">IFERROR(__xludf.DUMMYFUNCTION("IMPORTRANGE(""https://docs.google.com/spreadsheets/d/1XL5vhW3sbDhbH9Cz0tuDiY8C3ctxq1tqvaCgkFb8cCA/edit?usp=sharing"",""เลย!J486"")"),15)</f>
        <v>15</v>
      </c>
      <c r="K591" s="165">
        <f t="shared" ca="1" si="125"/>
        <v>25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9">
        <f ca="1">IFERROR(__xludf.DUMMYFUNCTION("IMPORTRANGE(""https://docs.google.com/spreadsheets/d/1XL5vhW3sbDhbH9Cz0tuDiY8C3ctxq1tqvaCgkFb8cCA/edit?usp=sharing"",""เลย!J487"")"),12.49)</f>
        <v>12.49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IFERROR(__xludf.DUMMYFUNCTION("IMPORTRANGE(""https://docs.google.com/spreadsheets/d/1XL5vhW3sbDhbH9Cz0tuDiY8C3ctxq1tqvaCgkFb8cCA/edit?usp=sharing"",""เลย!I488"")"),60)</f>
        <v>60</v>
      </c>
      <c r="J593" s="189">
        <f ca="1">IFERROR(__xludf.DUMMYFUNCTION("IMPORTRANGE(""https://docs.google.com/spreadsheets/d/1XL5vhW3sbDhbH9Cz0tuDiY8C3ctxq1tqvaCgkFb8cCA/edit?usp=sharing"",""เลย!J488"")"),0)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9">
        <f ca="1">IFERROR(__xludf.DUMMYFUNCTION("IMPORTRANGE(""https://docs.google.com/spreadsheets/d/1XL5vhW3sbDhbH9Cz0tuDiY8C3ctxq1tqvaCgkFb8cCA/edit?usp=sharing"",""เลย!J489"")"),0)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IFERROR(__xludf.DUMMYFUNCTION("IMPORTRANGE(""https://docs.google.com/spreadsheets/d/1XL5vhW3sbDhbH9Cz0tuDiY8C3ctxq1tqvaCgkFb8cCA/edit?usp=sharing"",""เลย!I490"")"),60)</f>
        <v>60</v>
      </c>
      <c r="J595" s="189">
        <f ca="1">IFERROR(__xludf.DUMMYFUNCTION("IMPORTRANGE(""https://docs.google.com/spreadsheets/d/1XL5vhW3sbDhbH9Cz0tuDiY8C3ctxq1tqvaCgkFb8cCA/edit?usp=sharing"",""เลย!J490"")"),0)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7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IFERROR(__xludf.DUMMYFUNCTION("IMPORTRANGE(""https://docs.google.com/spreadsheets/d/1XL5vhW3sbDhbH9Cz0tuDiY8C3ctxq1tqvaCgkFb8cCA/edit?usp=sharing"",""เลย!M492"")"),300)</f>
        <v>300</v>
      </c>
      <c r="O597" s="412">
        <f t="shared" ref="O597:O601" ca="1" si="126">+IF(L597&gt;0,N597*100/L597,0)</f>
        <v>3.5714285714285716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IFERROR(__xludf.DUMMYFUNCTION("IMPORTRANGE(""https://docs.google.com/spreadsheets/d/1XL5vhW3sbDhbH9Cz0tuDiY8C3ctxq1tqvaCgkFb8cCA/edit?usp=sharing"",""เลย!L493"")"),0)</f>
        <v>0</v>
      </c>
      <c r="M598" s="166"/>
      <c r="N598" s="170">
        <f ca="1">IFERROR(__xludf.DUMMYFUNCTION("IMPORTRANGE(""https://docs.google.com/spreadsheets/d/1XL5vhW3sbDhbH9Cz0tuDiY8C3ctxq1tqvaCgkFb8cCA/edit?usp=sharing"",""เลย!M493"")"),0)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IFERROR(__xludf.DUMMYFUNCTION("IMPORTRANGE(""https://docs.google.com/spreadsheets/d/1XL5vhW3sbDhbH9Cz0tuDiY8C3ctxq1tqvaCgkFb8cCA/edit?usp=sharing"",""เลย!L494"")"),8400)</f>
        <v>8400</v>
      </c>
      <c r="M599" s="167"/>
      <c r="N599" s="170">
        <f ca="1">IFERROR(__xludf.DUMMYFUNCTION("IMPORTRANGE(""https://docs.google.com/spreadsheets/d/1XL5vhW3sbDhbH9Cz0tuDiY8C3ctxq1tqvaCgkFb8cCA/edit?usp=sharing"",""เลย!M494"")"),300)</f>
        <v>300</v>
      </c>
      <c r="O599" s="170">
        <f t="shared" ca="1" si="126"/>
        <v>3.5714285714285716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IFERROR(__xludf.DUMMYFUNCTION("IMPORTRANGE(""https://docs.google.com/spreadsheets/d/1XL5vhW3sbDhbH9Cz0tuDiY8C3ctxq1tqvaCgkFb8cCA/edit?usp=sharing"",""เลย!L495"")"),0)</f>
        <v>0</v>
      </c>
      <c r="M600" s="170"/>
      <c r="N600" s="170">
        <f ca="1">IFERROR(__xludf.DUMMYFUNCTION("IMPORTRANGE(""https://docs.google.com/spreadsheets/d/1XL5vhW3sbDhbH9Cz0tuDiY8C3ctxq1tqvaCgkFb8cCA/edit?usp=sharing"",""เลย!M495"")"),0)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IFERROR(__xludf.DUMMYFUNCTION("IMPORTRANGE(""https://docs.google.com/spreadsheets/d/1XL5vhW3sbDhbH9Cz0tuDiY8C3ctxq1tqvaCgkFb8cCA/edit?usp=sharing"",""เลย!L496"")"),8400)</f>
        <v>8400</v>
      </c>
      <c r="M601" s="170"/>
      <c r="N601" s="170">
        <f ca="1">IFERROR(__xludf.DUMMYFUNCTION("IMPORTRANGE(""https://docs.google.com/spreadsheets/d/1XL5vhW3sbDhbH9Cz0tuDiY8C3ctxq1tqvaCgkFb8cCA/edit?usp=sharing"",""เลย!M496"")"),300)</f>
        <v>300</v>
      </c>
      <c r="O601" s="170">
        <f t="shared" ca="1" si="126"/>
        <v>3.5714285714285716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IFERROR(__xludf.DUMMYFUNCTION("IMPORTRANGE(""https://docs.google.com/spreadsheets/d/1XL5vhW3sbDhbH9Cz0tuDiY8C3ctxq1tqvaCgkFb8cCA/edit?usp=sharing"",""เลย!M497"")"),0)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IFERROR(__xludf.DUMMYFUNCTION("IMPORTRANGE(""https://docs.google.com/spreadsheets/d/1XL5vhW3sbDhbH9Cz0tuDiY8C3ctxq1tqvaCgkFb8cCA/edit?usp=sharing"",""เลย!M498"")"),0)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IFERROR(__xludf.DUMMYFUNCTION("IMPORTRANGE(""https://docs.google.com/spreadsheets/d/1XL5vhW3sbDhbH9Cz0tuDiY8C3ctxq1tqvaCgkFb8cCA/edit?usp=sharing"",""เลย!M499"")"),0)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IFERROR(__xludf.DUMMYFUNCTION("IMPORTRANGE(""https://docs.google.com/spreadsheets/d/1XL5vhW3sbDhbH9Cz0tuDiY8C3ctxq1tqvaCgkFb8cCA/edit?usp=sharing"",""เลย!M500"")"),300)</f>
        <v>300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IFERROR(__xludf.DUMMYFUNCTION("IMPORTRANGE(""https://docs.google.com/spreadsheets/d/1XL5vhW3sbDhbH9Cz0tuDiY8C3ctxq1tqvaCgkFb8cCA/edit?usp=sharing"",""เลย!J502"")"),0)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IFERROR(__xludf.DUMMYFUNCTION("IMPORTRANGE(""https://docs.google.com/spreadsheets/d/1XL5vhW3sbDhbH9Cz0tuDiY8C3ctxq1tqvaCgkFb8cCA/edit?usp=sharing"",""เลย!J503"")"),1)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IFERROR(__xludf.DUMMYFUNCTION("IMPORTRANGE(""https://docs.google.com/spreadsheets/d/1XL5vhW3sbDhbH9Cz0tuDiY8C3ctxq1tqvaCgkFb8cCA/edit?usp=sharing"",""เลย!J166"")"),0)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IFERROR(__xludf.DUMMYFUNCTION("IMPORTRANGE(""https://docs.google.com/spreadsheets/d/1XL5vhW3sbDhbH9Cz0tuDiY8C3ctxq1tqvaCgkFb8cCA/edit?usp=sharing"",""เลย!J166"")"),0)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IFERROR(__xludf.DUMMYFUNCTION("IMPORTRANGE(""https://docs.google.com/spreadsheets/d/1XL5vhW3sbDhbH9Cz0tuDiY8C3ctxq1tqvaCgkFb8cCA/edit?usp=sharing"",""เลย!I506"")"),120)</f>
        <v>120</v>
      </c>
      <c r="J611" s="164">
        <f ca="1">IFERROR(__xludf.DUMMYFUNCTION("IMPORTRANGE(""https://docs.google.com/spreadsheets/d/1XL5vhW3sbDhbH9Cz0tuDiY8C3ctxq1tqvaCgkFb8cCA/edit?usp=sharing"",""เลย!J506"")"),0)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IFERROR(__xludf.DUMMYFUNCTION("IMPORTRANGE(""https://docs.google.com/spreadsheets/d/1XL5vhW3sbDhbH9Cz0tuDiY8C3ctxq1tqvaCgkFb8cCA/edit?usp=sharing"",""เลย!I507"")"),0)</f>
        <v>0</v>
      </c>
      <c r="J612" s="199">
        <f ca="1">IFERROR(__xludf.DUMMYFUNCTION("IMPORTRANGE(""https://docs.google.com/spreadsheets/d/1XL5vhW3sbDhbH9Cz0tuDiY8C3ctxq1tqvaCgkFb8cCA/edit?usp=sharing"",""เลย!J507"")"),60)</f>
        <v>60</v>
      </c>
      <c r="K612" s="165">
        <f t="shared" ca="1" si="127"/>
        <v>50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IFERROR(__xludf.DUMMYFUNCTION("IMPORTRANGE(""https://docs.google.com/spreadsheets/d/1XL5vhW3sbDhbH9Cz0tuDiY8C3ctxq1tqvaCgkFb8cCA/edit?usp=sharing"",""เลย!I508"")"),0)</f>
        <v>0</v>
      </c>
      <c r="J613" s="199">
        <f ca="1">IFERROR(__xludf.DUMMYFUNCTION("IMPORTRANGE(""https://docs.google.com/spreadsheets/d/1XL5vhW3sbDhbH9Cz0tuDiY8C3ctxq1tqvaCgkFb8cCA/edit?usp=sharing"",""เลย!J508"")"),60)</f>
        <v>60</v>
      </c>
      <c r="K613" s="165">
        <f t="shared" ca="1" si="127"/>
        <v>50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IFERROR(__xludf.DUMMYFUNCTION("IMPORTRANGE(""https://docs.google.com/spreadsheets/d/1XL5vhW3sbDhbH9Cz0tuDiY8C3ctxq1tqvaCgkFb8cCA/edit?usp=sharing"",""เลย!I509"")"),0)</f>
        <v>0</v>
      </c>
      <c r="J614" s="199">
        <f ca="1">IFERROR(__xludf.DUMMYFUNCTION("IMPORTRANGE(""https://docs.google.com/spreadsheets/d/1XL5vhW3sbDhbH9Cz0tuDiY8C3ctxq1tqvaCgkFb8cCA/edit?usp=sharing"",""เลย!J509"")"),60)</f>
        <v>60</v>
      </c>
      <c r="K614" s="165">
        <f t="shared" ca="1" si="127"/>
        <v>50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IFERROR(__xludf.DUMMYFUNCTION("IMPORTRANGE(""https://docs.google.com/spreadsheets/d/1XL5vhW3sbDhbH9Cz0tuDiY8C3ctxq1tqvaCgkFb8cCA/edit?usp=sharing"",""เลย!I510"")"),0)</f>
        <v>0</v>
      </c>
      <c r="J615" s="199">
        <f ca="1">IFERROR(__xludf.DUMMYFUNCTION("IMPORTRANGE(""https://docs.google.com/spreadsheets/d/1XL5vhW3sbDhbH9Cz0tuDiY8C3ctxq1tqvaCgkFb8cCA/edit?usp=sharing"",""เลย!J510"")"),60)</f>
        <v>60</v>
      </c>
      <c r="K615" s="165">
        <f t="shared" ca="1" si="127"/>
        <v>50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IFERROR(__xludf.DUMMYFUNCTION("IMPORTRANGE(""https://docs.google.com/spreadsheets/d/1XL5vhW3sbDhbH9Cz0tuDiY8C3ctxq1tqvaCgkFb8cCA/edit?usp=sharing"",""เลย!I511"")"),0)</f>
        <v>0</v>
      </c>
      <c r="J616" s="199">
        <f ca="1">IFERROR(__xludf.DUMMYFUNCTION("IMPORTRANGE(""https://docs.google.com/spreadsheets/d/1XL5vhW3sbDhbH9Cz0tuDiY8C3ctxq1tqvaCgkFb8cCA/edit?usp=sharing"",""เลย!J511"")"),0)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IFERROR(__xludf.DUMMYFUNCTION("IMPORTRANGE(""https://docs.google.com/spreadsheets/d/1XL5vhW3sbDhbH9Cz0tuDiY8C3ctxq1tqvaCgkFb8cCA/edit?usp=sharing"",""เลย!I512"")"),0)</f>
        <v>0</v>
      </c>
      <c r="J617" s="189">
        <f ca="1">IFERROR(__xludf.DUMMYFUNCTION("IMPORTRANGE(""https://docs.google.com/spreadsheets/d/1XL5vhW3sbDhbH9Cz0tuDiY8C3ctxq1tqvaCgkFb8cCA/edit?usp=sharing"",""เลย!J512"")"),0)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IFERROR(__xludf.DUMMYFUNCTION("IMPORTRANGE(""https://docs.google.com/spreadsheets/d/1XL5vhW3sbDhbH9Cz0tuDiY8C3ctxq1tqvaCgkFb8cCA/edit?usp=sharing"",""เลย!I513"")"),0)</f>
        <v>0</v>
      </c>
      <c r="J618" s="190">
        <f ca="1">IFERROR(__xludf.DUMMYFUNCTION("IMPORTRANGE(""https://docs.google.com/spreadsheets/d/1XL5vhW3sbDhbH9Cz0tuDiY8C3ctxq1tqvaCgkFb8cCA/edit?usp=sharing"",""เลย!J513"")"),0)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IFERROR(__xludf.DUMMYFUNCTION("IMPORTRANGE(""https://docs.google.com/spreadsheets/d/1XL5vhW3sbDhbH9Cz0tuDiY8C3ctxq1tqvaCgkFb8cCA/edit?usp=sharing"",""เลย!I514"")"),0)</f>
        <v>0</v>
      </c>
      <c r="J619" s="190">
        <f ca="1">IFERROR(__xludf.DUMMYFUNCTION("IMPORTRANGE(""https://docs.google.com/spreadsheets/d/1XL5vhW3sbDhbH9Cz0tuDiY8C3ctxq1tqvaCgkFb8cCA/edit?usp=sharing"",""เลย!J514"")"),0)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IFERROR(__xludf.DUMMYFUNCTION("IMPORTRANGE(""https://docs.google.com/spreadsheets/d/1XL5vhW3sbDhbH9Cz0tuDiY8C3ctxq1tqvaCgkFb8cCA/edit?usp=sharing"",""เลย!I515"")"),0)</f>
        <v>0</v>
      </c>
      <c r="J620" s="204">
        <f ca="1">IFERROR(__xludf.DUMMYFUNCTION("IMPORTRANGE(""https://docs.google.com/spreadsheets/d/1XL5vhW3sbDhbH9Cz0tuDiY8C3ctxq1tqvaCgkFb8cCA/edit?usp=sharing"",""เลย!J515"")"),0)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IFERROR(__xludf.DUMMYFUNCTION("IMPORTRANGE(""https://docs.google.com/spreadsheets/d/1XL5vhW3sbDhbH9Cz0tuDiY8C3ctxq1tqvaCgkFb8cCA/edit?usp=sharing"",""เลย!I516"")"),0)</f>
        <v>0</v>
      </c>
      <c r="J621" s="204">
        <f ca="1">IFERROR(__xludf.DUMMYFUNCTION("IMPORTRANGE(""https://docs.google.com/spreadsheets/d/1XL5vhW3sbDhbH9Cz0tuDiY8C3ctxq1tqvaCgkFb8cCA/edit?usp=sharing"",""เลย!J516"")"),0)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IFERROR(__xludf.DUMMYFUNCTION("IMPORTRANGE(""https://docs.google.com/spreadsheets/d/1XL5vhW3sbDhbH9Cz0tuDiY8C3ctxq1tqvaCgkFb8cCA/edit?usp=sharing"",""เลย!I517"")"),0)</f>
        <v>0</v>
      </c>
      <c r="J622" s="190">
        <f ca="1">IFERROR(__xludf.DUMMYFUNCTION("IMPORTRANGE(""https://docs.google.com/spreadsheets/d/1XL5vhW3sbDhbH9Cz0tuDiY8C3ctxq1tqvaCgkFb8cCA/edit?usp=sharing"",""เลย!J517"")"),0)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IFERROR(__xludf.DUMMYFUNCTION("IMPORTRANGE(""https://docs.google.com/spreadsheets/d/1XL5vhW3sbDhbH9Cz0tuDiY8C3ctxq1tqvaCgkFb8cCA/edit?usp=sharing"",""เลย!I518"")"),0)</f>
        <v>0</v>
      </c>
      <c r="J623" s="190">
        <f ca="1">IFERROR(__xludf.DUMMYFUNCTION("IMPORTRANGE(""https://docs.google.com/spreadsheets/d/1XL5vhW3sbDhbH9Cz0tuDiY8C3ctxq1tqvaCgkFb8cCA/edit?usp=sharing"",""เลย!J518"")"),0)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IFERROR(__xludf.DUMMYFUNCTION("IMPORTRANGE(""https://docs.google.com/spreadsheets/d/1XL5vhW3sbDhbH9Cz0tuDiY8C3ctxq1tqvaCgkFb8cCA/edit?usp=sharing"",""เลย!I519"")"),0)</f>
        <v>0</v>
      </c>
      <c r="J624" s="189">
        <f ca="1">IFERROR(__xludf.DUMMYFUNCTION("IMPORTRANGE(""https://docs.google.com/spreadsheets/d/1XL5vhW3sbDhbH9Cz0tuDiY8C3ctxq1tqvaCgkFb8cCA/edit?usp=sharing"",""เลย!J519"")"),0)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IFERROR(__xludf.DUMMYFUNCTION("IMPORTRANGE(""https://docs.google.com/spreadsheets/d/1XL5vhW3sbDhbH9Cz0tuDiY8C3ctxq1tqvaCgkFb8cCA/edit?usp=sharing"",""เลย!I520"")"),0)</f>
        <v>0</v>
      </c>
      <c r="J625" s="190">
        <f ca="1">IFERROR(__xludf.DUMMYFUNCTION("IMPORTRANGE(""https://docs.google.com/spreadsheets/d/1XL5vhW3sbDhbH9Cz0tuDiY8C3ctxq1tqvaCgkFb8cCA/edit?usp=sharing"",""เลย!J520"")"),0)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IFERROR(__xludf.DUMMYFUNCTION("IMPORTRANGE(""https://docs.google.com/spreadsheets/d/1XL5vhW3sbDhbH9Cz0tuDiY8C3ctxq1tqvaCgkFb8cCA/edit?usp=sharing"",""เลย!I521"")"),0)</f>
        <v>0</v>
      </c>
      <c r="J626" s="190">
        <f ca="1">IFERROR(__xludf.DUMMYFUNCTION("IMPORTRANGE(""https://docs.google.com/spreadsheets/d/1XL5vhW3sbDhbH9Cz0tuDiY8C3ctxq1tqvaCgkFb8cCA/edit?usp=sharing"",""เลย!J521"")"),0)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IFERROR(__xludf.DUMMYFUNCTION("IMPORTRANGE(""https://docs.google.com/spreadsheets/d/1XL5vhW3sbDhbH9Cz0tuDiY8C3ctxq1tqvaCgkFb8cCA/edit?usp=sharing"",""เลย!I523"")"),14378772.56)</f>
        <v>14378772.560000001</v>
      </c>
      <c r="J628" s="341">
        <f ca="1">IFERROR(__xludf.DUMMYFUNCTION("IMPORTRANGE(""https://docs.google.com/spreadsheets/d/1XL5vhW3sbDhbH9Cz0tuDiY8C3ctxq1tqvaCgkFb8cCA/edit?usp=sharing"",""เลย!J523"")"),4300000)</f>
        <v>4300000</v>
      </c>
      <c r="K628" s="342">
        <f t="shared" ref="K628:K635" ca="1" si="129">IF(I628&gt;0,J628*100/I628,0)</f>
        <v>29.905195190040615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IFERROR(__xludf.DUMMYFUNCTION("IMPORTRANGE(""https://docs.google.com/spreadsheets/d/1XL5vhW3sbDhbH9Cz0tuDiY8C3ctxq1tqvaCgkFb8cCA/edit?usp=sharing"",""เลย!I524"")"),302)</f>
        <v>302</v>
      </c>
      <c r="J629" s="341">
        <f ca="1">IFERROR(__xludf.DUMMYFUNCTION("IMPORTRANGE(""https://docs.google.com/spreadsheets/d/1XL5vhW3sbDhbH9Cz0tuDiY8C3ctxq1tqvaCgkFb8cCA/edit?usp=sharing"",""เลย!J524"")"),86)</f>
        <v>86</v>
      </c>
      <c r="K629" s="342">
        <f t="shared" ca="1" si="129"/>
        <v>28.476821192052981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IFERROR(__xludf.DUMMYFUNCTION("IMPORTRANGE(""https://docs.google.com/spreadsheets/d/1XL5vhW3sbDhbH9Cz0tuDiY8C3ctxq1tqvaCgkFb8cCA/edit?usp=sharing"",""เลย!I525"")"),18014555.35)</f>
        <v>18014555.350000001</v>
      </c>
      <c r="J630" s="341">
        <f ca="1">IFERROR(__xludf.DUMMYFUNCTION("IMPORTRANGE(""https://docs.google.com/spreadsheets/d/1XL5vhW3sbDhbH9Cz0tuDiY8C3ctxq1tqvaCgkFb8cCA/edit?usp=sharing"",""เลย!J525"")"),1195732.65)</f>
        <v>1195732.6499999999</v>
      </c>
      <c r="K630" s="342">
        <f t="shared" ca="1" si="129"/>
        <v>6.6375918071161264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IFERROR(__xludf.DUMMYFUNCTION("IMPORTRANGE(""https://docs.google.com/spreadsheets/d/1XL5vhW3sbDhbH9Cz0tuDiY8C3ctxq1tqvaCgkFb8cCA/edit?usp=sharing"",""เลย!I526"")"),510)</f>
        <v>510</v>
      </c>
      <c r="J631" s="341">
        <f ca="1">IFERROR(__xludf.DUMMYFUNCTION("IMPORTRANGE(""https://docs.google.com/spreadsheets/d/1XL5vhW3sbDhbH9Cz0tuDiY8C3ctxq1tqvaCgkFb8cCA/edit?usp=sharing"",""เลย!J526"")"),175)</f>
        <v>175</v>
      </c>
      <c r="K631" s="342">
        <f t="shared" ca="1" si="129"/>
        <v>34.313725490196077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IFERROR(__xludf.DUMMYFUNCTION("IMPORTRANGE(""https://docs.google.com/spreadsheets/d/1XL5vhW3sbDhbH9Cz0tuDiY8C3ctxq1tqvaCgkFb8cCA/edit?usp=sharing"",""เลย!I527"")"),6149.25)</f>
        <v>6149.25</v>
      </c>
      <c r="J632" s="341">
        <f ca="1">IFERROR(__xludf.DUMMYFUNCTION("IMPORTRANGE(""https://docs.google.com/spreadsheets/d/1XL5vhW3sbDhbH9Cz0tuDiY8C3ctxq1tqvaCgkFb8cCA/edit?usp=sharing"",""เลย!J527"")"),690.75)</f>
        <v>690.75</v>
      </c>
      <c r="K632" s="342">
        <f t="shared" ca="1" si="129"/>
        <v>11.233077204537139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IFERROR(__xludf.DUMMYFUNCTION("IMPORTRANGE(""https://docs.google.com/spreadsheets/d/1XL5vhW3sbDhbH9Cz0tuDiY8C3ctxq1tqvaCgkFb8cCA/edit?usp=sharing"",""เลย!I528"")"),4)</f>
        <v>4</v>
      </c>
      <c r="J633" s="341">
        <f ca="1">IFERROR(__xludf.DUMMYFUNCTION("IMPORTRANGE(""https://docs.google.com/spreadsheets/d/1XL5vhW3sbDhbH9Cz0tuDiY8C3ctxq1tqvaCgkFb8cCA/edit?usp=sharing"",""เลย!J528"")"),1)</f>
        <v>1</v>
      </c>
      <c r="K633" s="342">
        <f t="shared" ca="1" si="129"/>
        <v>25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IFERROR(__xludf.DUMMYFUNCTION("IMPORTRANGE(""https://docs.google.com/spreadsheets/d/1XL5vhW3sbDhbH9Cz0tuDiY8C3ctxq1tqvaCgkFb8cCA/edit?usp=sharing"",""เลย!I529"")"),12000000)</f>
        <v>12000000</v>
      </c>
      <c r="J634" s="341">
        <f ca="1">IFERROR(__xludf.DUMMYFUNCTION("IMPORTRANGE(""https://docs.google.com/spreadsheets/d/1XL5vhW3sbDhbH9Cz0tuDiY8C3ctxq1tqvaCgkFb8cCA/edit?usp=sharing"",""เลย!J529"")"),3700000)</f>
        <v>3700000</v>
      </c>
      <c r="K634" s="342">
        <f t="shared" ca="1" si="129"/>
        <v>30.833333333333332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IFERROR(__xludf.DUMMYFUNCTION("IMPORTRANGE(""https://docs.google.com/spreadsheets/d/1XL5vhW3sbDhbH9Cz0tuDiY8C3ctxq1tqvaCgkFb8cCA/edit?usp=sharing"",""เลย!I530"")"),250)</f>
        <v>250</v>
      </c>
      <c r="J635" s="504">
        <f ca="1">IFERROR(__xludf.DUMMYFUNCTION("IMPORTRANGE(""https://docs.google.com/spreadsheets/d/1XL5vhW3sbDhbH9Cz0tuDiY8C3ctxq1tqvaCgkFb8cCA/edit?usp=sharing"",""เลย!J530"")"),74)</f>
        <v>74</v>
      </c>
      <c r="K635" s="486">
        <f t="shared" ca="1" si="129"/>
        <v>29.6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8620216</v>
      </c>
      <c r="M8" s="23">
        <f t="shared" ca="1" si="0"/>
        <v>3411576</v>
      </c>
      <c r="N8" s="23">
        <f t="shared" ca="1" si="0"/>
        <v>3160284.97</v>
      </c>
      <c r="O8" s="22">
        <f t="shared" ref="O8:O16" ca="1" si="1">IF(L8&gt;0,N8*100/L8,0)</f>
        <v>36.661319971564517</v>
      </c>
      <c r="P8" s="22">
        <f t="shared" ref="P8:P16" ca="1" si="2">IF(M8&gt;0,N8*100/M8,0)</f>
        <v>92.634165851794009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8620216</v>
      </c>
      <c r="M10" s="30">
        <f t="shared" ca="1" si="4"/>
        <v>3411576</v>
      </c>
      <c r="N10" s="30">
        <f t="shared" ca="1" si="4"/>
        <v>3160284.97</v>
      </c>
      <c r="O10" s="29">
        <f t="shared" ca="1" si="1"/>
        <v>36.661319971564517</v>
      </c>
      <c r="P10" s="29">
        <f t="shared" ca="1" si="2"/>
        <v>92.634165851794009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7683216</v>
      </c>
      <c r="M12" s="38">
        <f t="shared" ca="1" si="6"/>
        <v>2474576</v>
      </c>
      <c r="N12" s="38">
        <f t="shared" ca="1" si="6"/>
        <v>2223284.9700000002</v>
      </c>
      <c r="O12" s="38">
        <f t="shared" ca="1" si="1"/>
        <v>28.936905717605757</v>
      </c>
      <c r="P12" s="38">
        <f t="shared" ca="1" si="2"/>
        <v>89.845087400831503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5329716</v>
      </c>
      <c r="M14" s="38">
        <f t="shared" si="8"/>
        <v>0</v>
      </c>
      <c r="N14" s="38">
        <f t="shared" ca="1" si="8"/>
        <v>356624.97000000003</v>
      </c>
      <c r="O14" s="38">
        <f t="shared" ca="1" si="1"/>
        <v>6.6912565322429938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5432895</v>
      </c>
      <c r="M18" s="23">
        <f t="shared" ca="1" si="11"/>
        <v>3411576</v>
      </c>
      <c r="N18" s="23">
        <f t="shared" ca="1" si="11"/>
        <v>2803660</v>
      </c>
      <c r="O18" s="22">
        <f t="shared" ref="O18:O20" ca="1" si="12">IF(L18&gt;0,N18*100/L18,0)</f>
        <v>51.605267541522522</v>
      </c>
      <c r="P18" s="22">
        <f t="shared" ref="P18:P26" ca="1" si="13">IF(M18&gt;0,N18*100/M18,0)</f>
        <v>82.180786826967946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5432895</v>
      </c>
      <c r="M20" s="30">
        <f t="shared" ca="1" si="15"/>
        <v>3411576</v>
      </c>
      <c r="N20" s="30">
        <f t="shared" ca="1" si="15"/>
        <v>2803660</v>
      </c>
      <c r="O20" s="29">
        <f t="shared" ca="1" si="12"/>
        <v>51.605267541522522</v>
      </c>
      <c r="P20" s="29">
        <f t="shared" ca="1" si="13"/>
        <v>82.180786826967946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4495895</v>
      </c>
      <c r="M22" s="41">
        <f t="shared" ca="1" si="18"/>
        <v>2474576</v>
      </c>
      <c r="N22" s="38">
        <f t="shared" ca="1" si="18"/>
        <v>1866660</v>
      </c>
      <c r="O22" s="38">
        <f t="shared" ca="1" si="17"/>
        <v>41.519208077590783</v>
      </c>
      <c r="P22" s="38">
        <f t="shared" ca="1" si="13"/>
        <v>75.433528814633291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3187321</v>
      </c>
      <c r="M28" s="23">
        <f t="shared" si="23"/>
        <v>0</v>
      </c>
      <c r="N28" s="23">
        <f t="shared" ca="1" si="23"/>
        <v>356624.97000000003</v>
      </c>
      <c r="O28" s="22">
        <f t="shared" ref="O28:O30" ca="1" si="24">IF(L28&gt;0,N28*100/L28,0)</f>
        <v>11.188862684367216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3187321</v>
      </c>
      <c r="M30" s="30">
        <f t="shared" si="27"/>
        <v>0</v>
      </c>
      <c r="N30" s="30">
        <f t="shared" ca="1" si="27"/>
        <v>356624.97000000003</v>
      </c>
      <c r="O30" s="29">
        <f t="shared" ca="1" si="24"/>
        <v>11.188862684367216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3187321</v>
      </c>
      <c r="M32" s="38">
        <f t="shared" si="30"/>
        <v>0</v>
      </c>
      <c r="N32" s="38">
        <f t="shared" ca="1" si="30"/>
        <v>356624.97000000003</v>
      </c>
      <c r="O32" s="38">
        <f t="shared" ca="1" si="29"/>
        <v>11.188862684367216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3187321</v>
      </c>
      <c r="M34" s="38">
        <f t="shared" si="32"/>
        <v>0</v>
      </c>
      <c r="N34" s="38">
        <f t="shared" ca="1" si="32"/>
        <v>356624.97000000003</v>
      </c>
      <c r="O34" s="38">
        <f t="shared" ca="1" si="29"/>
        <v>11.188862684367216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5432895</v>
      </c>
      <c r="M37" s="54">
        <f t="shared" ca="1" si="33"/>
        <v>3411576</v>
      </c>
      <c r="N37" s="54">
        <f t="shared" ca="1" si="33"/>
        <v>2803660</v>
      </c>
      <c r="O37" s="55">
        <f t="shared" ca="1" si="29"/>
        <v>51.605267541522522</v>
      </c>
      <c r="P37" s="55">
        <f t="shared" ca="1" si="25"/>
        <v>82.180786826967946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1337000</v>
      </c>
      <c r="N41" s="78">
        <f t="shared" ca="1" si="34"/>
        <v>1278835</v>
      </c>
      <c r="O41" s="77">
        <f t="shared" ref="O41:O43" ca="1" si="35">IF(L41&gt;0,N41*100/L41,0)</f>
        <v>72.905478593010656</v>
      </c>
      <c r="P41" s="77">
        <f t="shared" ref="P41:P43" ca="1" si="36">IF(M41&gt;0,N41*100/M41,0)</f>
        <v>95.649588631264024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1337000</v>
      </c>
      <c r="N43" s="78">
        <f t="shared" ca="1" si="38"/>
        <v>1278835</v>
      </c>
      <c r="O43" s="77">
        <f t="shared" ca="1" si="35"/>
        <v>72.905478593010656</v>
      </c>
      <c r="P43" s="77">
        <f t="shared" ca="1" si="36"/>
        <v>95.649588631264024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533">
        <f ca="1">IFERROR(__xludf.DUMMYFUNCTION("IMPORTRANGE(""https://docs.google.com/spreadsheets/d/1Yj_ptqi66GCucihVvJfMjLAmec39IyEx_6qawtMGysU/edit?usp=sharing"",""สบก!Q50"")"),417000)</f>
        <v>417000</v>
      </c>
      <c r="N45" s="533">
        <f ca="1">IFERROR(__xludf.DUMMYFUNCTION("IMPORTRANGE(""https://docs.google.com/spreadsheets/d/1Yj_ptqi66GCucihVvJfMjLAmec39IyEx_6qawtMGysU/edit?usp=sharing"",""สบก!R50"")"),358835)</f>
        <v>358835</v>
      </c>
      <c r="O45" s="534">
        <f ca="1">IF(L45&gt;0,N45*100/L45,0)</f>
        <v>43.020621028653636</v>
      </c>
      <c r="P45" s="534">
        <f ca="1">IF(M45&gt;0,N45*100/M45,0)</f>
        <v>86.051558752997607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IFERROR(__xludf.DUMMYFUNCTION("IMPORTRANGE(""https://docs.google.com/spreadsheets/d/1Yj_ptqi66GCucihVvJfMjLAmec39IyEx_6qawtMGysU/edit?usp=sharing"",""สบก!M50"")"),834100)</f>
        <v>834100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IFERROR(__xludf.DUMMYFUNCTION("IMPORTRANGE(""https://docs.google.com/spreadsheets/d/1Yj_ptqi66GCucihVvJfMjLAmec39IyEx_6qawtMGysU/edit?usp=sharing"",""สบก!N50"")"),0)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IFERROR(__xludf.DUMMYFUNCTION("IMPORTRANGE(""https://docs.google.com/spreadsheets/d/1Yj_ptqi66GCucihVvJfMjLAmec39IyEx_6qawtMGysU/edit?usp=sharing"",""สบก!O50"")"),920000)</f>
        <v>920000</v>
      </c>
      <c r="M49" s="536">
        <f ca="1">L49</f>
        <v>920000</v>
      </c>
      <c r="N49" s="533">
        <f ca="1">IFERROR(__xludf.DUMMYFUNCTION("IMPORTRANGE(""https://docs.google.com/spreadsheets/d/1Yj_ptqi66GCucihVvJfMjLAmec39IyEx_6qawtMGysU/edit?usp=sharing"",""สบก!S50"")"),920000)</f>
        <v>920000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363101</v>
      </c>
      <c r="N53" s="121">
        <f t="shared" ca="1" si="39"/>
        <v>354461</v>
      </c>
      <c r="O53" s="120">
        <f t="shared" ref="O53:O55" ca="1" si="40">IF(L53&gt;0,N53*100/L53,0)</f>
        <v>51.550465386852821</v>
      </c>
      <c r="P53" s="120">
        <f t="shared" ref="P53:P55" ca="1" si="41">IF(M53&gt;0,N53*100/M53,0)</f>
        <v>97.620496776379028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363101</v>
      </c>
      <c r="N55" s="121">
        <f t="shared" ca="1" si="43"/>
        <v>354461</v>
      </c>
      <c r="O55" s="120">
        <f t="shared" ca="1" si="40"/>
        <v>51.550465386852821</v>
      </c>
      <c r="P55" s="120">
        <f t="shared" ca="1" si="41"/>
        <v>97.620496776379028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533">
        <f ca="1">IFERROR(__xludf.DUMMYFUNCTION("IMPORTRANGE(""https://docs.google.com/spreadsheets/d/1Yj_ptqi66GCucihVvJfMjLAmec39IyEx_6qawtMGysU/edit?usp=sharing"",""สบก!Z50"")"),363101)</f>
        <v>363101</v>
      </c>
      <c r="N57" s="533">
        <f ca="1">IFERROR(__xludf.DUMMYFUNCTION("IMPORTRANGE(""https://docs.google.com/spreadsheets/d/1Yj_ptqi66GCucihVvJfMjLAmec39IyEx_6qawtMGysU/edit?usp=sharing"",""สบก!AA50"")"),354461)</f>
        <v>354461</v>
      </c>
      <c r="O57" s="534">
        <f ca="1">IF(L57&gt;0,N57*100/L57,0)</f>
        <v>51.550465386852821</v>
      </c>
      <c r="P57" s="534">
        <f ca="1">IF(M57&gt;0,N57*100/M57,0)</f>
        <v>97.620496776379028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IFERROR(__xludf.DUMMYFUNCTION("IMPORTRANGE(""https://docs.google.com/spreadsheets/d/1Yj_ptqi66GCucihVvJfMjLAmec39IyEx_6qawtMGysU/edit?usp=sharing"",""สบก!V50"")"),687600)</f>
        <v>687600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IFERROR(__xludf.DUMMYFUNCTION("IMPORTRANGE(""https://docs.google.com/spreadsheets/d/1Yj_ptqi66GCucihVvJfMjLAmec39IyEx_6qawtMGysU/edit?usp=sharing"",""สบก!W50"")"),0)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IFERROR(__xludf.DUMMYFUNCTION("IMPORTRANGE(""https://docs.google.com/spreadsheets/d/1Yj_ptqi66GCucihVvJfMjLAmec39IyEx_6qawtMGysU/edit?usp=sharing"",""สบก!X50"")"),0)</f>
        <v>0</v>
      </c>
      <c r="M61" s="536"/>
      <c r="N61" s="533">
        <f ca="1">IFERROR(__xludf.DUMMYFUNCTION("IMPORTRANGE(""https://docs.google.com/spreadsheets/d/1Yj_ptqi66GCucihVvJfMjLAmec39IyEx_6qawtMGysU/edit?usp=sharing"",""สบก!AB50"")"),0)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499920</v>
      </c>
      <c r="N66" s="152">
        <f t="shared" ca="1" si="45"/>
        <v>454008</v>
      </c>
      <c r="O66" s="151">
        <f t="shared" ref="O66:O68" ca="1" si="46">IF(L66&gt;0,N66*100/L66,0)</f>
        <v>48.997194042736886</v>
      </c>
      <c r="P66" s="151">
        <f t="shared" ref="P66:P68" ca="1" si="47">IF(M66&gt;0,N66*100/M66,0)</f>
        <v>90.816130580892946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499920</v>
      </c>
      <c r="N68" s="157">
        <f t="shared" ca="1" si="49"/>
        <v>454008</v>
      </c>
      <c r="O68" s="156">
        <f t="shared" ca="1" si="46"/>
        <v>48.997194042736886</v>
      </c>
      <c r="P68" s="156">
        <f t="shared" ca="1" si="47"/>
        <v>90.816130580892946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926600</v>
      </c>
      <c r="M70" s="537">
        <f ca="1">IFERROR(__xludf.DUMMYFUNCTION("IMPORTRANGE(""https://docs.google.com/spreadsheets/d/1Yj_ptqi66GCucihVvJfMjLAmec39IyEx_6qawtMGysU/edit?usp=sharing"",""สบก!AI50"")"),499920)</f>
        <v>499920</v>
      </c>
      <c r="N70" s="538">
        <f ca="1">IFERROR(__xludf.DUMMYFUNCTION("IMPORTRANGE(""https://docs.google.com/spreadsheets/d/1Yj_ptqi66GCucihVvJfMjLAmec39IyEx_6qawtMGysU/edit?usp=sharing"",""สบก!AJ50"")"),454008)</f>
        <v>454008</v>
      </c>
      <c r="O70" s="170">
        <f ca="1">IF(L70&gt;0,N70*100/L70,0)</f>
        <v>48.997194042736886</v>
      </c>
      <c r="P70" s="170">
        <f ca="1">IF(M70&gt;0,N70*100/M70,0)</f>
        <v>90.816130580892946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IFERROR(__xludf.DUMMYFUNCTION("IMPORTRANGE(""https://docs.google.com/spreadsheets/d/1Yj_ptqi66GCucihVvJfMjLAmec39IyEx_6qawtMGysU/edit?usp=sharing"",""สบก!AE50"")"),331400)</f>
        <v>331400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IFERROR(__xludf.DUMMYFUNCTION("IMPORTRANGE(""https://docs.google.com/spreadsheets/d/1Yj_ptqi66GCucihVvJfMjLAmec39IyEx_6qawtMGysU/edit?usp=sharing"",""สบก!AF50"")"),595200)</f>
        <v>595200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IFERROR(__xludf.DUMMYFUNCTION("IMPORTRANGE(""https://docs.google.com/spreadsheets/d/1Yj_ptqi66GCucihVvJfMjLAmec39IyEx_6qawtMGysU/edit?usp=sharing"",""สบก!AG50"")"),0)</f>
        <v>0</v>
      </c>
      <c r="M74" s="536"/>
      <c r="N74" s="533">
        <f ca="1">IFERROR(__xludf.DUMMYFUNCTION("IMPORTRANGE(""https://docs.google.com/spreadsheets/d/1Yj_ptqi66GCucihVvJfMjLAmec39IyEx_6qawtMGysU/edit?usp=sharing"",""สบก!AK50"")"),0)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IFERROR(__xludf.DUMMYFUNCTION("IMPORTRANGE(""https://docs.google.com/spreadsheets/d/1XL5vhW3sbDhbH9Cz0tuDiY8C3ctxq1tqvaCgkFb8cCA/edit?usp=sharing"",""ศรีสะเกษ!J16"")"),0)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IFERROR(__xludf.DUMMYFUNCTION("IMPORTRANGE(""https://docs.google.com/spreadsheets/d/1XL5vhW3sbDhbH9Cz0tuDiY8C3ctxq1tqvaCgkFb8cCA/edit?usp=sharing"",""ศรีสะเกษ!J17"")"),1)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IFERROR(__xludf.DUMMYFUNCTION("IMPORTRANGE(""https://docs.google.com/spreadsheets/d/1XL5vhW3sbDhbH9Cz0tuDiY8C3ctxq1tqvaCgkFb8cCA/edit?usp=sharing"",""ศรีสะเกษ!J18"")"),1)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IFERROR(__xludf.DUMMYFUNCTION("IMPORTRANGE(""https://docs.google.com/spreadsheets/d/1XL5vhW3sbDhbH9Cz0tuDiY8C3ctxq1tqvaCgkFb8cCA/edit?usp=sharing"",""ศรีสะเกษ!J19"")"),1)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IFERROR(__xludf.DUMMYFUNCTION("IMPORTRANGE(""https://docs.google.com/spreadsheets/d/1XL5vhW3sbDhbH9Cz0tuDiY8C3ctxq1tqvaCgkFb8cCA/edit?usp=sharing"",""ศรีสะเกษ!I20"")"),1)</f>
        <v>1</v>
      </c>
      <c r="J80" s="202">
        <f ca="1">IFERROR(__xludf.DUMMYFUNCTION("IMPORTRANGE(""https://docs.google.com/spreadsheets/d/1XL5vhW3sbDhbH9Cz0tuDiY8C3ctxq1tqvaCgkFb8cCA/edit?usp=sharing"",""ศรีสะเกษ!J20"")"),1)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IFERROR(__xludf.DUMMYFUNCTION("IMPORTRANGE(""https://docs.google.com/spreadsheets/d/1XL5vhW3sbDhbH9Cz0tuDiY8C3ctxq1tqvaCgkFb8cCA/edit?usp=sharing"",""ศรีสะเกษ!I21"")"),71)</f>
        <v>71</v>
      </c>
      <c r="J81" s="202">
        <f ca="1">IFERROR(__xludf.DUMMYFUNCTION("IMPORTRANGE(""https://docs.google.com/spreadsheets/d/1XL5vhW3sbDhbH9Cz0tuDiY8C3ctxq1tqvaCgkFb8cCA/edit?usp=sharing"",""ศรีสะเกษ!J21"")"),71)</f>
        <v>71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IFERROR(__xludf.DUMMYFUNCTION("IMPORTRANGE(""https://docs.google.com/spreadsheets/d/1XL5vhW3sbDhbH9Cz0tuDiY8C3ctxq1tqvaCgkFb8cCA/edit?usp=sharing"",""ศรีสะเกษ!I22"")"),0)</f>
        <v>0</v>
      </c>
      <c r="J82" s="205">
        <f ca="1">IFERROR(__xludf.DUMMYFUNCTION("IMPORTRANGE(""https://docs.google.com/spreadsheets/d/1XL5vhW3sbDhbH9Cz0tuDiY8C3ctxq1tqvaCgkFb8cCA/edit?usp=sharing"",""ศรีสะเกษ!J22"")"),0)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IFERROR(__xludf.DUMMYFUNCTION("IMPORTRANGE(""https://docs.google.com/spreadsheets/d/1XL5vhW3sbDhbH9Cz0tuDiY8C3ctxq1tqvaCgkFb8cCA/edit?usp=sharing"",""ศรีสะเกษ!I23"")"),0)</f>
        <v>0</v>
      </c>
      <c r="J83" s="205">
        <f ca="1">IFERROR(__xludf.DUMMYFUNCTION("IMPORTRANGE(""https://docs.google.com/spreadsheets/d/1XL5vhW3sbDhbH9Cz0tuDiY8C3ctxq1tqvaCgkFb8cCA/edit?usp=sharing"",""ศรีสะเกษ!J23"")"),0)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IFERROR(__xludf.DUMMYFUNCTION("IMPORTRANGE(""https://docs.google.com/spreadsheets/d/1XL5vhW3sbDhbH9Cz0tuDiY8C3ctxq1tqvaCgkFb8cCA/edit?usp=sharing"",""ศรีสะเกษ!I24"")"),1)</f>
        <v>1</v>
      </c>
      <c r="J84" s="190">
        <f ca="1">IFERROR(__xludf.DUMMYFUNCTION("IMPORTRANGE(""https://docs.google.com/spreadsheets/d/1XL5vhW3sbDhbH9Cz0tuDiY8C3ctxq1tqvaCgkFb8cCA/edit?usp=sharing"",""ศรีสะเกษ!J24"")"),1)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IFERROR(__xludf.DUMMYFUNCTION("IMPORTRANGE(""https://docs.google.com/spreadsheets/d/1XL5vhW3sbDhbH9Cz0tuDiY8C3ctxq1tqvaCgkFb8cCA/edit?usp=sharing"",""ศรีสะเกษ!I25"")"),71)</f>
        <v>71</v>
      </c>
      <c r="J85" s="190">
        <f ca="1">IFERROR(__xludf.DUMMYFUNCTION("IMPORTRANGE(""https://docs.google.com/spreadsheets/d/1XL5vhW3sbDhbH9Cz0tuDiY8C3ctxq1tqvaCgkFb8cCA/edit?usp=sharing"",""ศรีสะเกษ!J25"")"),71)</f>
        <v>71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IFERROR(__xludf.DUMMYFUNCTION("IMPORTRANGE(""https://docs.google.com/spreadsheets/d/1XL5vhW3sbDhbH9Cz0tuDiY8C3ctxq1tqvaCgkFb8cCA/edit?usp=sharing"",""ศรีสะเกษ!I26"")"),0)</f>
        <v>0</v>
      </c>
      <c r="J86" s="205">
        <f ca="1">IFERROR(__xludf.DUMMYFUNCTION("IMPORTRANGE(""https://docs.google.com/spreadsheets/d/1XL5vhW3sbDhbH9Cz0tuDiY8C3ctxq1tqvaCgkFb8cCA/edit?usp=sharing"",""ศรีสะเกษ!J26"")"),0)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IFERROR(__xludf.DUMMYFUNCTION("IMPORTRANGE(""https://docs.google.com/spreadsheets/d/1XL5vhW3sbDhbH9Cz0tuDiY8C3ctxq1tqvaCgkFb8cCA/edit?usp=sharing"",""ศรีสะเกษ!I27"")"),0)</f>
        <v>0</v>
      </c>
      <c r="J87" s="205">
        <f ca="1">IFERROR(__xludf.DUMMYFUNCTION("IMPORTRANGE(""https://docs.google.com/spreadsheets/d/1XL5vhW3sbDhbH9Cz0tuDiY8C3ctxq1tqvaCgkFb8cCA/edit?usp=sharing"",""ศรีสะเกษ!J27"")"),0)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IFERROR(__xludf.DUMMYFUNCTION("IMPORTRANGE(""https://docs.google.com/spreadsheets/d/1XL5vhW3sbDhbH9Cz0tuDiY8C3ctxq1tqvaCgkFb8cCA/edit?usp=sharing"",""ศรีสะเกษ!I28"")"),0)</f>
        <v>0</v>
      </c>
      <c r="J88" s="205">
        <f ca="1">IFERROR(__xludf.DUMMYFUNCTION("IMPORTRANGE(""https://docs.google.com/spreadsheets/d/1XL5vhW3sbDhbH9Cz0tuDiY8C3ctxq1tqvaCgkFb8cCA/edit?usp=sharing"",""ศรีสะเกษ!J28"")"),71)</f>
        <v>71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IFERROR(__xludf.DUMMYFUNCTION("IMPORTRANGE(""https://docs.google.com/spreadsheets/d/1XL5vhW3sbDhbH9Cz0tuDiY8C3ctxq1tqvaCgkFb8cCA/edit?usp=sharing"",""ศรีสะเกษ!J29"")"),0)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IFERROR(__xludf.DUMMYFUNCTION("IMPORTRANGE(""https://docs.google.com/spreadsheets/d/1Yj_ptqi66GCucihVvJfMjLAmec39IyEx_6qawtMGysU/edit?usp=sharing"",""สบก!AR50"")"),0)</f>
        <v>0</v>
      </c>
      <c r="N98" s="538">
        <f ca="1">IFERROR(__xludf.DUMMYFUNCTION("IMPORTRANGE(""https://docs.google.com/spreadsheets/d/1Yj_ptqi66GCucihVvJfMjLAmec39IyEx_6qawtMGysU/edit?usp=sharing"",""สบก!AS50"")"),0)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IFERROR(__xludf.DUMMYFUNCTION("IMPORTRANGE(""https://docs.google.com/spreadsheets/d/1Yj_ptqi66GCucihVvJfMjLAmec39IyEx_6qawtMGysU/edit?usp=sharing"",""สบก!AN50"")"),0)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IFERROR(__xludf.DUMMYFUNCTION("IMPORTRANGE(""https://docs.google.com/spreadsheets/d/1Yj_ptqi66GCucihVvJfMjLAmec39IyEx_6qawtMGysU/edit?usp=sharing"",""สบก!AO50"")"),0)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IFERROR(__xludf.DUMMYFUNCTION("IMPORTRANGE(""https://docs.google.com/spreadsheets/d/1Yj_ptqi66GCucihVvJfMjLAmec39IyEx_6qawtMGysU/edit?usp=sharing"",""สบก!AP50"")"),0)</f>
        <v>0</v>
      </c>
      <c r="M102" s="536"/>
      <c r="N102" s="533">
        <f ca="1">IFERROR(__xludf.DUMMYFUNCTION("IMPORTRANGE(""https://docs.google.com/spreadsheets/d/1Yj_ptqi66GCucihVvJfMjLAmec39IyEx_6qawtMGysU/edit?usp=sharing"",""สบก!AT50"")"),0)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IFERROR(__xludf.DUMMYFUNCTION("IMPORTRANGE(""https://docs.google.com/spreadsheets/d/1XL5vhW3sbDhbH9Cz0tuDiY8C3ctxq1tqvaCgkFb8cCA/edit?usp=sharing"",""ศรีสะเกษ!I43"")"),0)</f>
        <v>0</v>
      </c>
      <c r="J108" s="205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IFERROR(__xludf.DUMMYFUNCTION("IMPORTRANGE(""https://docs.google.com/spreadsheets/d/1XL5vhW3sbDhbH9Cz0tuDiY8C3ctxq1tqvaCgkFb8cCA/edit?usp=sharing"",""ศรีสะเกษ!I44"")"),0)</f>
        <v>0</v>
      </c>
      <c r="J109" s="205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IFERROR(__xludf.DUMMYFUNCTION("IMPORTRANGE(""https://docs.google.com/spreadsheets/d/1XL5vhW3sbDhbH9Cz0tuDiY8C3ctxq1tqvaCgkFb8cCA/edit?usp=sharing"",""ศรีสะเกษ!I45"")"),0)</f>
        <v>0</v>
      </c>
      <c r="J110" s="205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IFERROR(__xludf.DUMMYFUNCTION("IMPORTRANGE(""https://docs.google.com/spreadsheets/d/1XL5vhW3sbDhbH9Cz0tuDiY8C3ctxq1tqvaCgkFb8cCA/edit?usp=sharing"",""ศรีสะเกษ!I46"")"),0)</f>
        <v>0</v>
      </c>
      <c r="J111" s="205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IFERROR(__xludf.DUMMYFUNCTION("IMPORTRANGE(""https://docs.google.com/spreadsheets/d/1XL5vhW3sbDhbH9Cz0tuDiY8C3ctxq1tqvaCgkFb8cCA/edit?usp=sharing"",""ศรีสะเกษ!I47"")"),0)</f>
        <v>0</v>
      </c>
      <c r="J112" s="205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IFERROR(__xludf.DUMMYFUNCTION("IMPORTRANGE(""https://docs.google.com/spreadsheets/d/1XL5vhW3sbDhbH9Cz0tuDiY8C3ctxq1tqvaCgkFb8cCA/edit?usp=sharing"",""ศรีสะเกษ!I48"")"),0)</f>
        <v>0</v>
      </c>
      <c r="J113" s="205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IFERROR(__xludf.DUMMYFUNCTION("IMPORTRANGE(""https://docs.google.com/spreadsheets/d/1Yj_ptqi66GCucihVvJfMjLAmec39IyEx_6qawtMGysU/edit?usp=sharing"",""สบก!BA50"")"),0)</f>
        <v>0</v>
      </c>
      <c r="N122" s="538">
        <f ca="1">IFERROR(__xludf.DUMMYFUNCTION("IMPORTRANGE(""https://docs.google.com/spreadsheets/d/1Yj_ptqi66GCucihVvJfMjLAmec39IyEx_6qawtMGysU/edit?usp=sharing"",""สบก!BB50"")"),0)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IFERROR(__xludf.DUMMYFUNCTION("IMPORTRANGE(""https://docs.google.com/spreadsheets/d/1Yj_ptqi66GCucihVvJfMjLAmec39IyEx_6qawtMGysU/edit?usp=sharing"",""สบก!AW50"")"),0)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IFERROR(__xludf.DUMMYFUNCTION("IMPORTRANGE(""https://docs.google.com/spreadsheets/d/1Yj_ptqi66GCucihVvJfMjLAmec39IyEx_6qawtMGysU/edit?usp=sharing"",""สบก!AX50"")"),0)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IFERROR(__xludf.DUMMYFUNCTION("IMPORTRANGE(""https://docs.google.com/spreadsheets/d/1Yj_ptqi66GCucihVvJfMjLAmec39IyEx_6qawtMGysU/edit?usp=sharing"",""สบก!AY50"")"),0)</f>
        <v>0</v>
      </c>
      <c r="M126" s="536"/>
      <c r="N126" s="533">
        <f ca="1">IFERROR(__xludf.DUMMYFUNCTION("IMPORTRANGE(""https://docs.google.com/spreadsheets/d/1Yj_ptqi66GCucihVvJfMjLAmec39IyEx_6qawtMGysU/edit?usp=sharing"",""สบก!BC50"")"),0)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263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IFERROR(__xludf.DUMMYFUNCTION("IMPORTRANGE(""https://docs.google.com/spreadsheets/d/1XL5vhW3sbDhbH9Cz0tuDiY8C3ctxq1tqvaCgkFb8cCA/edit?usp=sharing"",""ศรีสะเกษ!I62"")"),0)</f>
        <v>0</v>
      </c>
      <c r="J132" s="205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IFERROR(__xludf.DUMMYFUNCTION("IMPORTRANGE(""https://docs.google.com/spreadsheets/d/1XL5vhW3sbDhbH9Cz0tuDiY8C3ctxq1tqvaCgkFb8cCA/edit?usp=sharing"",""ศรีสะเกษ!I63"")"),0)</f>
        <v>0</v>
      </c>
      <c r="J133" s="205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86000</v>
      </c>
      <c r="M140" s="152">
        <f t="shared" ca="1" si="64"/>
        <v>77750</v>
      </c>
      <c r="N140" s="152">
        <f t="shared" ca="1" si="64"/>
        <v>29154</v>
      </c>
      <c r="O140" s="151">
        <f t="shared" ref="O140:O142" ca="1" si="65">IF(L140&gt;0,N140*100/L140,0)</f>
        <v>33.9</v>
      </c>
      <c r="P140" s="151">
        <f t="shared" ref="P140:P142" ca="1" si="66">IF(M140&gt;0,N140*100/M140,0)</f>
        <v>37.497106109324761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86000</v>
      </c>
      <c r="M142" s="157">
        <f t="shared" ca="1" si="68"/>
        <v>77750</v>
      </c>
      <c r="N142" s="157">
        <f t="shared" ca="1" si="68"/>
        <v>29154</v>
      </c>
      <c r="O142" s="156">
        <f t="shared" ca="1" si="65"/>
        <v>33.9</v>
      </c>
      <c r="P142" s="156">
        <f t="shared" ca="1" si="66"/>
        <v>37.497106109324761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86000</v>
      </c>
      <c r="M144" s="537">
        <f ca="1">IFERROR(__xludf.DUMMYFUNCTION("IMPORTRANGE(""https://docs.google.com/spreadsheets/d/1Yj_ptqi66GCucihVvJfMjLAmec39IyEx_6qawtMGysU/edit?usp=sharing"",""สบก!BJ50"")"),77750)</f>
        <v>77750</v>
      </c>
      <c r="N144" s="538">
        <f ca="1">IFERROR(__xludf.DUMMYFUNCTION("IMPORTRANGE(""https://docs.google.com/spreadsheets/d/1Yj_ptqi66GCucihVvJfMjLAmec39IyEx_6qawtMGysU/edit?usp=sharing"",""สบก!BK50"")"),29154)</f>
        <v>29154</v>
      </c>
      <c r="O144" s="170">
        <f ca="1">IF(L144&gt;0,N144*100/L144,0)</f>
        <v>33.9</v>
      </c>
      <c r="P144" s="170">
        <f ca="1">IF(M144&gt;0,N144*100/M144,0)</f>
        <v>37.497106109324761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IFERROR(__xludf.DUMMYFUNCTION("IMPORTRANGE(""https://docs.google.com/spreadsheets/d/1Yj_ptqi66GCucihVvJfMjLAmec39IyEx_6qawtMGysU/edit?usp=sharing"",""สบก!BF50"")"),0)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IFERROR(__xludf.DUMMYFUNCTION("IMPORTRANGE(""https://docs.google.com/spreadsheets/d/1Yj_ptqi66GCucihVvJfMjLAmec39IyEx_6qawtMGysU/edit?usp=sharing"",""สบก!BG50"")"),86000)</f>
        <v>86000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IFERROR(__xludf.DUMMYFUNCTION("IMPORTRANGE(""https://docs.google.com/spreadsheets/d/1Yj_ptqi66GCucihVvJfMjLAmec39IyEx_6qawtMGysU/edit?usp=sharing"",""สบก!BH50"")"),0)</f>
        <v>0</v>
      </c>
      <c r="M148" s="536"/>
      <c r="N148" s="533">
        <f ca="1">IFERROR(__xludf.DUMMYFUNCTION("IMPORTRANGE(""https://docs.google.com/spreadsheets/d/1Yj_ptqi66GCucihVvJfMjLAmec39IyEx_6qawtMGysU/edit?usp=sharing"",""สบก!BL50"")"),0)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IFERROR(__xludf.DUMMYFUNCTION("IMPORTRANGE(""https://docs.google.com/spreadsheets/d/1XL5vhW3sbDhbH9Cz0tuDiY8C3ctxq1tqvaCgkFb8cCA/edit?usp=sharing"",""ศรีสะเกษ!J79"")"),0)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IFERROR(__xludf.DUMMYFUNCTION("IMPORTRANGE(""https://docs.google.com/spreadsheets/d/1XL5vhW3sbDhbH9Cz0tuDiY8C3ctxq1tqvaCgkFb8cCA/edit?usp=sharing"",""ศรีสะเกษ!J80"")"),1)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IFERROR(__xludf.DUMMYFUNCTION("IMPORTRANGE(""https://docs.google.com/spreadsheets/d/1XL5vhW3sbDhbH9Cz0tuDiY8C3ctxq1tqvaCgkFb8cCA/edit?usp=sharing"",""ศรีสะเกษ!J81"")"),1)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IFERROR(__xludf.DUMMYFUNCTION("IMPORTRANGE(""https://docs.google.com/spreadsheets/d/1XL5vhW3sbDhbH9Cz0tuDiY8C3ctxq1tqvaCgkFb8cCA/edit?usp=sharing"",""ศรีสะเกษ!J82"")"),1)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IFERROR(__xludf.DUMMYFUNCTION("IMPORTRANGE(""https://docs.google.com/spreadsheets/d/1XL5vhW3sbDhbH9Cz0tuDiY8C3ctxq1tqvaCgkFb8cCA/edit?usp=sharing"",""ศรีสะเกษ!I83"")"),4)</f>
        <v>4</v>
      </c>
      <c r="J158" s="190">
        <f ca="1">IFERROR(__xludf.DUMMYFUNCTION("IMPORTRANGE(""https://docs.google.com/spreadsheets/d/1XL5vhW3sbDhbH9Cz0tuDiY8C3ctxq1tqvaCgkFb8cCA/edit?usp=sharing"",""ศรีสะเกษ!J83"")"),2)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IFERROR(__xludf.DUMMYFUNCTION("IMPORTRANGE(""https://docs.google.com/spreadsheets/d/1XL5vhW3sbDhbH9Cz0tuDiY8C3ctxq1tqvaCgkFb8cCA/edit?usp=sharing"",""ศรีสะเกษ!J84"")"),23)</f>
        <v>23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IFERROR(__xludf.DUMMYFUNCTION("IMPORTRANGE(""https://docs.google.com/spreadsheets/d/1XL5vhW3sbDhbH9Cz0tuDiY8C3ctxq1tqvaCgkFb8cCA/edit?usp=sharing"",""ศรีสะเกษ!J85"")"),23)</f>
        <v>23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IFERROR(__xludf.DUMMYFUNCTION("IMPORTRANGE(""https://docs.google.com/spreadsheets/d/1XL5vhW3sbDhbH9Cz0tuDiY8C3ctxq1tqvaCgkFb8cCA/edit?usp=sharing"",""ศรีสะเกษ!J86"")"),0)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IFERROR(__xludf.DUMMYFUNCTION("IMPORTRANGE(""https://docs.google.com/spreadsheets/d/1XL5vhW3sbDhbH9Cz0tuDiY8C3ctxq1tqvaCgkFb8cCA/edit?usp=sharing"",""ศรีสะเกษ!J87"")"),0)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IFERROR(__xludf.DUMMYFUNCTION("IMPORTRANGE(""https://docs.google.com/spreadsheets/d/1XL5vhW3sbDhbH9Cz0tuDiY8C3ctxq1tqvaCgkFb8cCA/edit?usp=sharing"",""ศรีสะเกษ!I89"")"),4)</f>
        <v>4</v>
      </c>
      <c r="J164" s="284">
        <f ca="1">IFERROR(__xludf.DUMMYFUNCTION("IMPORTRANGE(""https://docs.google.com/spreadsheets/d/1XL5vhW3sbDhbH9Cz0tuDiY8C3ctxq1tqvaCgkFb8cCA/edit?usp=sharing"",""ศรีสะเกษ!J89"")"),0)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IFERROR(__xludf.DUMMYFUNCTION("IMPORTRANGE(""https://docs.google.com/spreadsheets/d/1XL5vhW3sbDhbH9Cz0tuDiY8C3ctxq1tqvaCgkFb8cCA/edit?usp=sharing"",""ศรีสะเกษ!J94"")"),0)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IFERROR(__xludf.DUMMYFUNCTION("IMPORTRANGE(""https://docs.google.com/spreadsheets/d/1XL5vhW3sbDhbH9Cz0tuDiY8C3ctxq1tqvaCgkFb8cCA/edit?usp=sharing"",""ศรีสะเกษ!J95"")"),1)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IFERROR(__xludf.DUMMYFUNCTION("IMPORTRANGE(""https://docs.google.com/spreadsheets/d/1XL5vhW3sbDhbH9Cz0tuDiY8C3ctxq1tqvaCgkFb8cCA/edit?usp=sharing"",""ศรีสะเกษ!J96"")"),0)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IFERROR(__xludf.DUMMYFUNCTION("IMPORTRANGE(""https://docs.google.com/spreadsheets/d/1XL5vhW3sbDhbH9Cz0tuDiY8C3ctxq1tqvaCgkFb8cCA/edit?usp=sharing"",""ศรีสะเกษ!J97"")"),0)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IFERROR(__xludf.DUMMYFUNCTION("IMPORTRANGE(""https://docs.google.com/spreadsheets/d/1XL5vhW3sbDhbH9Cz0tuDiY8C3ctxq1tqvaCgkFb8cCA/edit?usp=sharing"",""ศรีสะเกษ!I98"")"),4)</f>
        <v>4</v>
      </c>
      <c r="J173" s="190">
        <f ca="1">IFERROR(__xludf.DUMMYFUNCTION("IMPORTRANGE(""https://docs.google.com/spreadsheets/d/1XL5vhW3sbDhbH9Cz0tuDiY8C3ctxq1tqvaCgkFb8cCA/edit?usp=sharing"",""ศรีสะเกษ!J98"")"),0)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IFERROR(__xludf.DUMMYFUNCTION("IMPORTRANGE(""https://docs.google.com/spreadsheets/d/1XL5vhW3sbDhbH9Cz0tuDiY8C3ctxq1tqvaCgkFb8cCA/edit?usp=sharing"",""ศรีสะเกษ!J99"")"),0)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IFERROR(__xludf.DUMMYFUNCTION("IMPORTRANGE(""https://docs.google.com/spreadsheets/d/1XL5vhW3sbDhbH9Cz0tuDiY8C3ctxq1tqvaCgkFb8cCA/edit?usp=sharing"",""ศรีสะเกษ!J100"")"),0)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IFERROR(__xludf.DUMMYFUNCTION("IMPORTRANGE(""https://docs.google.com/spreadsheets/d/1XL5vhW3sbDhbH9Cz0tuDiY8C3ctxq1tqvaCgkFb8cCA/edit?usp=sharing"",""ศรีสะเกษ!I101"")"),1)</f>
        <v>1</v>
      </c>
      <c r="J176" s="284">
        <f ca="1">IFERROR(__xludf.DUMMYFUNCTION("IMPORTRANGE(""https://docs.google.com/spreadsheets/d/1XL5vhW3sbDhbH9Cz0tuDiY8C3ctxq1tqvaCgkFb8cCA/edit?usp=sharing"",""ศรีสะเกษ!J101"")"),0)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IFERROR(__xludf.DUMMYFUNCTION("IMPORTRANGE(""https://docs.google.com/spreadsheets/d/1XL5vhW3sbDhbH9Cz0tuDiY8C3ctxq1tqvaCgkFb8cCA/edit?usp=sharing"",""ศรีสะเกษ!J107"")"),1)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IFERROR(__xludf.DUMMYFUNCTION("IMPORTRANGE(""https://docs.google.com/spreadsheets/d/1XL5vhW3sbDhbH9Cz0tuDiY8C3ctxq1tqvaCgkFb8cCA/edit?usp=sharing"",""ศรีสะเกษ!I110"")"),1)</f>
        <v>1</v>
      </c>
      <c r="J185" s="205">
        <f ca="1">IFERROR(__xludf.DUMMYFUNCTION("IMPORTRANGE(""https://docs.google.com/spreadsheets/d/1XL5vhW3sbDhbH9Cz0tuDiY8C3ctxq1tqvaCgkFb8cCA/edit?usp=sharing"",""ศรีสะเกษ!J110"")"),0)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IFERROR(__xludf.DUMMYFUNCTION("IMPORTRANGE(""https://docs.google.com/spreadsheets/d/1XL5vhW3sbDhbH9Cz0tuDiY8C3ctxq1tqvaCgkFb8cCA/edit?usp=sharing"",""ศรีสะเกษ!I111"")"),1)</f>
        <v>1</v>
      </c>
      <c r="J186" s="205">
        <f ca="1">IFERROR(__xludf.DUMMYFUNCTION("IMPORTRANGE(""https://docs.google.com/spreadsheets/d/1XL5vhW3sbDhbH9Cz0tuDiY8C3ctxq1tqvaCgkFb8cCA/edit?usp=sharing"",""ศรีสะเกษ!J111"")"),0)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IFERROR(__xludf.DUMMYFUNCTION("IMPORTRANGE(""https://docs.google.com/spreadsheets/d/1XL5vhW3sbDhbH9Cz0tuDiY8C3ctxq1tqvaCgkFb8cCA/edit?usp=sharing"",""ศรีสะเกษ!J113"")"),0)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IFERROR(__xludf.DUMMYFUNCTION("IMPORTRANGE(""https://docs.google.com/spreadsheets/d/1XL5vhW3sbDhbH9Cz0tuDiY8C3ctxq1tqvaCgkFb8cCA/edit?usp=sharing"",""ศรีสะเกษ!I114"")"),10000)</f>
        <v>10000</v>
      </c>
      <c r="J189" s="284">
        <f ca="1">IFERROR(__xludf.DUMMYFUNCTION("IMPORTRANGE(""https://docs.google.com/spreadsheets/d/1XL5vhW3sbDhbH9Cz0tuDiY8C3ctxq1tqvaCgkFb8cCA/edit?usp=sharing"",""ศรีสะเกษ!J114"")"),0)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IFERROR(__xludf.DUMMYFUNCTION("IMPORTRANGE(""https://docs.google.com/spreadsheets/d/1XL5vhW3sbDhbH9Cz0tuDiY8C3ctxq1tqvaCgkFb8cCA/edit?usp=sharing"",""ศรีสะเกษ!J119"")"),0)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IFERROR(__xludf.DUMMYFUNCTION("IMPORTRANGE(""https://docs.google.com/spreadsheets/d/1XL5vhW3sbDhbH9Cz0tuDiY8C3ctxq1tqvaCgkFb8cCA/edit?usp=sharing"",""ศรีสะเกษ!J120"")"),1)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IFERROR(__xludf.DUMMYFUNCTION("IMPORTRANGE(""https://docs.google.com/spreadsheets/d/1XL5vhW3sbDhbH9Cz0tuDiY8C3ctxq1tqvaCgkFb8cCA/edit?usp=sharing"",""ศรีสะเกษ!J121"")"),1)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IFERROR(__xludf.DUMMYFUNCTION("IMPORTRANGE(""https://docs.google.com/spreadsheets/d/1XL5vhW3sbDhbH9Cz0tuDiY8C3ctxq1tqvaCgkFb8cCA/edit?usp=sharing"",""ศรีสะเกษ!J122"")"),0)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IFERROR(__xludf.DUMMYFUNCTION("IMPORTRANGE(""https://docs.google.com/spreadsheets/d/1XL5vhW3sbDhbH9Cz0tuDiY8C3ctxq1tqvaCgkFb8cCA/edit?usp=sharing"",""ศรีสะเกษ!I124"")"),10000)</f>
        <v>10000</v>
      </c>
      <c r="J199" s="190">
        <f ca="1">IFERROR(__xludf.DUMMYFUNCTION("IMPORTRANGE(""https://docs.google.com/spreadsheets/d/1XL5vhW3sbDhbH9Cz0tuDiY8C3ctxq1tqvaCgkFb8cCA/edit?usp=sharing"",""ศรีสะเกษ!J124"")"),0)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IFERROR(__xludf.DUMMYFUNCTION("IMPORTRANGE(""https://docs.google.com/spreadsheets/d/1XL5vhW3sbDhbH9Cz0tuDiY8C3ctxq1tqvaCgkFb8cCA/edit?usp=sharing"",""ศรีสะเกษ!I125"")"),10000)</f>
        <v>10000</v>
      </c>
      <c r="J200" s="190">
        <f ca="1">IFERROR(__xludf.DUMMYFUNCTION("IMPORTRANGE(""https://docs.google.com/spreadsheets/d/1XL5vhW3sbDhbH9Cz0tuDiY8C3ctxq1tqvaCgkFb8cCA/edit?usp=sharing"",""ศรีสะเกษ!J125"")"),0)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IFERROR(__xludf.DUMMYFUNCTION("IMPORTRANGE(""https://docs.google.com/spreadsheets/d/1XL5vhW3sbDhbH9Cz0tuDiY8C3ctxq1tqvaCgkFb8cCA/edit?usp=sharing"",""ศรีสะเกษ!I126"")"),0)</f>
        <v>0</v>
      </c>
      <c r="J201" s="190">
        <f ca="1">IFERROR(__xludf.DUMMYFUNCTION("IMPORTRANGE(""https://docs.google.com/spreadsheets/d/1XL5vhW3sbDhbH9Cz0tuDiY8C3ctxq1tqvaCgkFb8cCA/edit?usp=sharing"",""ศรีสะเกษ!J126"")"),0)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IFERROR(__xludf.DUMMYFUNCTION("IMPORTRANGE(""https://docs.google.com/spreadsheets/d/1XL5vhW3sbDhbH9Cz0tuDiY8C3ctxq1tqvaCgkFb8cCA/edit?usp=sharing"",""ศรีสะเกษ!J127"")"),0)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IFERROR(__xludf.DUMMYFUNCTION("IMPORTRANGE(""https://docs.google.com/spreadsheets/d/1XL5vhW3sbDhbH9Cz0tuDiY8C3ctxq1tqvaCgkFb8cCA/edit?usp=sharing"",""ศรีสะเกษ!J128"")"),0)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IFERROR(__xludf.DUMMYFUNCTION("IMPORTRANGE(""https://docs.google.com/spreadsheets/d/1XL5vhW3sbDhbH9Cz0tuDiY8C3ctxq1tqvaCgkFb8cCA/edit?usp=sharing"",""ศรีสะเกษ!I129"")"),0)</f>
        <v>0</v>
      </c>
      <c r="J204" s="284">
        <f ca="1">IFERROR(__xludf.DUMMYFUNCTION("IMPORTRANGE(""https://docs.google.com/spreadsheets/d/1XL5vhW3sbDhbH9Cz0tuDiY8C3ctxq1tqvaCgkFb8cCA/edit?usp=sharing"",""ศรีสะเกษ!J129"")"),0)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IFERROR(__xludf.DUMMYFUNCTION("IMPORTRANGE(""https://docs.google.com/spreadsheets/d/1XL5vhW3sbDhbH9Cz0tuDiY8C3ctxq1tqvaCgkFb8cCA/edit?usp=sharing"",""ศรีสะเกษ!I138"")"),0)</f>
        <v>0</v>
      </c>
      <c r="J213" s="205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IFERROR(__xludf.DUMMYFUNCTION("IMPORTRANGE(""https://docs.google.com/spreadsheets/d/1XL5vhW3sbDhbH9Cz0tuDiY8C3ctxq1tqvaCgkFb8cCA/edit?usp=sharing"",""ศรีสะเกษ!I140"")"),0)</f>
        <v>0</v>
      </c>
      <c r="J215" s="205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IFERROR(__xludf.DUMMYFUNCTION("IMPORTRANGE(""https://docs.google.com/spreadsheets/d/1XL5vhW3sbDhbH9Cz0tuDiY8C3ctxq1tqvaCgkFb8cCA/edit?usp=sharing"",""ศรีสะเกษ!I141"")"),0)</f>
        <v>0</v>
      </c>
      <c r="J216" s="205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IFERROR(__xludf.DUMMYFUNCTION("IMPORTRANGE(""https://docs.google.com/spreadsheets/d/1Yj_ptqi66GCucihVvJfMjLAmec39IyEx_6qawtMGysU/edit?usp=sharing"",""สบก!BS50"")"),21125)</f>
        <v>21125</v>
      </c>
      <c r="N224" s="538">
        <f ca="1">IFERROR(__xludf.DUMMYFUNCTION("IMPORTRANGE(""https://docs.google.com/spreadsheets/d/1Yj_ptqi66GCucihVvJfMjLAmec39IyEx_6qawtMGysU/edit?usp=sharing"",""สบก!BT50"")"),21125)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IFERROR(__xludf.DUMMYFUNCTION("IMPORTRANGE(""https://docs.google.com/spreadsheets/d/1Yj_ptqi66GCucihVvJfMjLAmec39IyEx_6qawtMGysU/edit?usp=sharing"",""สบก!BO50"")"),0)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IFERROR(__xludf.DUMMYFUNCTION("IMPORTRANGE(""https://docs.google.com/spreadsheets/d/1Yj_ptqi66GCucihVvJfMjLAmec39IyEx_6qawtMGysU/edit?usp=sharing"",""สบก!BP50"")"),21125)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IFERROR(__xludf.DUMMYFUNCTION("IMPORTRANGE(""https://docs.google.com/spreadsheets/d/1Yj_ptqi66GCucihVvJfMjLAmec39IyEx_6qawtMGysU/edit?usp=sharing"",""สบก!BQ50"")"),0)</f>
        <v>0</v>
      </c>
      <c r="M228" s="536"/>
      <c r="N228" s="533">
        <f ca="1">IFERROR(__xludf.DUMMYFUNCTION("IMPORTRANGE(""https://docs.google.com/spreadsheets/d/1Yj_ptqi66GCucihVvJfMjLAmec39IyEx_6qawtMGysU/edit?usp=sharing"",""สบก!BU50"")"),0)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IFERROR(__xludf.DUMMYFUNCTION("IMPORTRANGE(""https://docs.google.com/spreadsheets/d/1XL5vhW3sbDhbH9Cz0tuDiY8C3ctxq1tqvaCgkFb8cCA/edit?usp=sharing"",""ศรีสะเกษ!J151"")"),0)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IFERROR(__xludf.DUMMYFUNCTION("IMPORTRANGE(""https://docs.google.com/spreadsheets/d/1XL5vhW3sbDhbH9Cz0tuDiY8C3ctxq1tqvaCgkFb8cCA/edit?usp=sharing"",""ศรีสะเกษ!J152"")"),1)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IFERROR(__xludf.DUMMYFUNCTION("IMPORTRANGE(""https://docs.google.com/spreadsheets/d/1XL5vhW3sbDhbH9Cz0tuDiY8C3ctxq1tqvaCgkFb8cCA/edit?usp=sharing"",""ศรีสะเกษ!J153"")"),1)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IFERROR(__xludf.DUMMYFUNCTION("IMPORTRANGE(""https://docs.google.com/spreadsheets/d/1XL5vhW3sbDhbH9Cz0tuDiY8C3ctxq1tqvaCgkFb8cCA/edit?usp=sharing"",""ศรีสะเกษ!J154"")"),0)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IFERROR(__xludf.DUMMYFUNCTION("IMPORTRANGE(""https://docs.google.com/spreadsheets/d/1XL5vhW3sbDhbH9Cz0tuDiY8C3ctxq1tqvaCgkFb8cCA/edit?usp=sharing"",""ศรีสะเกษ!I155"")"),15)</f>
        <v>15</v>
      </c>
      <c r="J235" s="190">
        <f ca="1">IFERROR(__xludf.DUMMYFUNCTION("IMPORTRANGE(""https://docs.google.com/spreadsheets/d/1XL5vhW3sbDhbH9Cz0tuDiY8C3ctxq1tqvaCgkFb8cCA/edit?usp=sharing"",""ศรีสะเกษ!J155"")"),15)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IFERROR(__xludf.DUMMYFUNCTION("IMPORTRANGE(""https://docs.google.com/spreadsheets/d/1XL5vhW3sbDhbH9Cz0tuDiY8C3ctxq1tqvaCgkFb8cCA/edit?usp=sharing"",""ศรีสะเกษ!J156"")"),0)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IFERROR(__xludf.DUMMYFUNCTION("IMPORTRANGE(""https://docs.google.com/spreadsheets/d/1XL5vhW3sbDhbH9Cz0tuDiY8C3ctxq1tqvaCgkFb8cCA/edit?usp=sharing"",""ศรีสะเกษ!J157"")"),0)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IFERROR(__xludf.DUMMYFUNCTION("IMPORTRANGE(""https://docs.google.com/spreadsheets/d/1XL5vhW3sbDhbH9Cz0tuDiY8C3ctxq1tqvaCgkFb8cCA/edit?usp=sharing"",""ศรีสะเกษ!J159"")"),"")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IFERROR(__xludf.DUMMYFUNCTION("IMPORTRANGE(""https://docs.google.com/spreadsheets/d/1XL5vhW3sbDhbH9Cz0tuDiY8C3ctxq1tqvaCgkFb8cCA/edit?usp=sharing"",""ศรีสะเกษ!J161"")"),0)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IFERROR(__xludf.DUMMYFUNCTION("IMPORTRANGE(""https://docs.google.com/spreadsheets/d/1XL5vhW3sbDhbH9Cz0tuDiY8C3ctxq1tqvaCgkFb8cCA/edit?usp=sharing"",""ศรีสะเกษ!J162"")"),0)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IFERROR(__xludf.DUMMYFUNCTION("IMPORTRANGE(""https://docs.google.com/spreadsheets/d/1XL5vhW3sbDhbH9Cz0tuDiY8C3ctxq1tqvaCgkFb8cCA/edit?usp=sharing"",""ศรีสะเกษ!J163"")"),0)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IFERROR(__xludf.DUMMYFUNCTION("IMPORTRANGE(""https://docs.google.com/spreadsheets/d/1XL5vhW3sbDhbH9Cz0tuDiY8C3ctxq1tqvaCgkFb8cCA/edit?usp=sharing"",""ศรีสะเกษ!I164"")"),0)</f>
        <v>0</v>
      </c>
      <c r="J244" s="189">
        <f ca="1">IFERROR(__xludf.DUMMYFUNCTION("IMPORTRANGE(""https://docs.google.com/spreadsheets/d/1XL5vhW3sbDhbH9Cz0tuDiY8C3ctxq1tqvaCgkFb8cCA/edit?usp=sharing"",""ศรีสะเกษ!J164"")"),0)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IFERROR(__xludf.DUMMYFUNCTION("IMPORTRANGE(""https://docs.google.com/spreadsheets/d/1XL5vhW3sbDhbH9Cz0tuDiY8C3ctxq1tqvaCgkFb8cCA/edit?usp=sharing"",""ศรีสะเกษ!J165"")"),0)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IFERROR(__xludf.DUMMYFUNCTION("IMPORTRANGE(""https://docs.google.com/spreadsheets/d/1XL5vhW3sbDhbH9Cz0tuDiY8C3ctxq1tqvaCgkFb8cCA/edit?usp=sharing"",""ศรีสะเกษ!I169"")"),25)</f>
        <v>25</v>
      </c>
      <c r="J249" s="316">
        <f ca="1">IFERROR(__xludf.DUMMYFUNCTION("IMPORTRANGE(""https://docs.google.com/spreadsheets/d/1XL5vhW3sbDhbH9Cz0tuDiY8C3ctxq1tqvaCgkFb8cCA/edit?usp=sharing"",""ศรีสะเกษ!J169"")"),25)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99.917647058823533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99.917647058823533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IFERROR(__xludf.DUMMYFUNCTION("IMPORTRANGE(""https://docs.google.com/spreadsheets/d/1Yj_ptqi66GCucihVvJfMjLAmec39IyEx_6qawtMGysU/edit?usp=sharing"",""สบก!CB50"")"),42500)</f>
        <v>42500</v>
      </c>
      <c r="N254" s="538">
        <f ca="1">IFERROR(__xludf.DUMMYFUNCTION("IMPORTRANGE(""https://docs.google.com/spreadsheets/d/1Yj_ptqi66GCucihVvJfMjLAmec39IyEx_6qawtMGysU/edit?usp=sharing"",""สบก!CC50"")"),42465)</f>
        <v>42465</v>
      </c>
      <c r="O254" s="170">
        <f ca="1">IF(L254&gt;0,N254*100/L254,0)</f>
        <v>47.713483146067418</v>
      </c>
      <c r="P254" s="170">
        <f ca="1">IF(M254&gt;0,N254*100/M254,0)</f>
        <v>99.917647058823533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IFERROR(__xludf.DUMMYFUNCTION("IMPORTRANGE(""https://docs.google.com/spreadsheets/d/1Yj_ptqi66GCucihVvJfMjLAmec39IyEx_6qawtMGysU/edit?usp=sharing"",""สบก!BX50"")"),0)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IFERROR(__xludf.DUMMYFUNCTION("IMPORTRANGE(""https://docs.google.com/spreadsheets/d/1Yj_ptqi66GCucihVvJfMjLAmec39IyEx_6qawtMGysU/edit?usp=sharing"",""สบก!BY50"")"),89000)</f>
        <v>89000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IFERROR(__xludf.DUMMYFUNCTION("IMPORTRANGE(""https://docs.google.com/spreadsheets/d/1Yj_ptqi66GCucihVvJfMjLAmec39IyEx_6qawtMGysU/edit?usp=sharing"",""สบก!BZ50"")"),0)</f>
        <v>0</v>
      </c>
      <c r="M258" s="536"/>
      <c r="N258" s="533">
        <f ca="1">IFERROR(__xludf.DUMMYFUNCTION("IMPORTRANGE(""https://docs.google.com/spreadsheets/d/1Yj_ptqi66GCucihVvJfMjLAmec39IyEx_6qawtMGysU/edit?usp=sharing"",""สบก!CD50"")"),0)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IFERROR(__xludf.DUMMYFUNCTION("IMPORTRANGE(""https://docs.google.com/spreadsheets/d/1XL5vhW3sbDhbH9Cz0tuDiY8C3ctxq1tqvaCgkFb8cCA/edit?usp=sharing"",""ศรีสะเกษ!J175"")"),0)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IFERROR(__xludf.DUMMYFUNCTION("IMPORTRANGE(""https://docs.google.com/spreadsheets/d/1XL5vhW3sbDhbH9Cz0tuDiY8C3ctxq1tqvaCgkFb8cCA/edit?usp=sharing"",""ศรีสะเกษ!J176"")"),1)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IFERROR(__xludf.DUMMYFUNCTION("IMPORTRANGE(""https://docs.google.com/spreadsheets/d/1XL5vhW3sbDhbH9Cz0tuDiY8C3ctxq1tqvaCgkFb8cCA/edit?usp=sharing"",""ศรีสะเกษ!J177"")"),1)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IFERROR(__xludf.DUMMYFUNCTION("IMPORTRANGE(""https://docs.google.com/spreadsheets/d/1XL5vhW3sbDhbH9Cz0tuDiY8C3ctxq1tqvaCgkFb8cCA/edit?usp=sharing"",""ศรีสะเกษ!J178"")"),1)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IFERROR(__xludf.DUMMYFUNCTION("IMPORTRANGE(""https://docs.google.com/spreadsheets/d/1XL5vhW3sbDhbH9Cz0tuDiY8C3ctxq1tqvaCgkFb8cCA/edit?usp=sharing"",""ศรีสะเกษ!I179"")"),1)</f>
        <v>1</v>
      </c>
      <c r="J264" s="190">
        <f ca="1">IFERROR(__xludf.DUMMYFUNCTION("IMPORTRANGE(""https://docs.google.com/spreadsheets/d/1XL5vhW3sbDhbH9Cz0tuDiY8C3ctxq1tqvaCgkFb8cCA/edit?usp=sharing"",""ศรีสะเกษ!J179"")"),0)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IFERROR(__xludf.DUMMYFUNCTION("IMPORTRANGE(""https://docs.google.com/spreadsheets/d/1XL5vhW3sbDhbH9Cz0tuDiY8C3ctxq1tqvaCgkFb8cCA/edit?usp=sharing"",""ศรีสะเกษ!I180"")"),25)</f>
        <v>25</v>
      </c>
      <c r="J265" s="190">
        <f ca="1">IFERROR(__xludf.DUMMYFUNCTION("IMPORTRANGE(""https://docs.google.com/spreadsheets/d/1XL5vhW3sbDhbH9Cz0tuDiY8C3ctxq1tqvaCgkFb8cCA/edit?usp=sharing"",""ศรีสะเกษ!J180"")"),25)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IFERROR(__xludf.DUMMYFUNCTION("IMPORTRANGE(""https://docs.google.com/spreadsheets/d/1XL5vhW3sbDhbH9Cz0tuDiY8C3ctxq1tqvaCgkFb8cCA/edit?usp=sharing"",""ศรีสะเกษ!I181"")"),25)</f>
        <v>25</v>
      </c>
      <c r="J266" s="190">
        <f ca="1">IFERROR(__xludf.DUMMYFUNCTION("IMPORTRANGE(""https://docs.google.com/spreadsheets/d/1XL5vhW3sbDhbH9Cz0tuDiY8C3ctxq1tqvaCgkFb8cCA/edit?usp=sharing"",""ศรีสะเกษ!J181"")"),0)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IFERROR(__xludf.DUMMYFUNCTION("IMPORTRANGE(""https://docs.google.com/spreadsheets/d/1XL5vhW3sbDhbH9Cz0tuDiY8C3ctxq1tqvaCgkFb8cCA/edit?usp=sharing"",""ศรีสะเกษ!I182"")"),1)</f>
        <v>1</v>
      </c>
      <c r="J267" s="190">
        <f ca="1">IFERROR(__xludf.DUMMYFUNCTION("IMPORTRANGE(""https://docs.google.com/spreadsheets/d/1XL5vhW3sbDhbH9Cz0tuDiY8C3ctxq1tqvaCgkFb8cCA/edit?usp=sharing"",""ศรีสะเกษ!J182"")"),0)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IFERROR(__xludf.DUMMYFUNCTION("IMPORTRANGE(""https://docs.google.com/spreadsheets/d/1XL5vhW3sbDhbH9Cz0tuDiY8C3ctxq1tqvaCgkFb8cCA/edit?usp=sharing"",""ศรีสะเกษ!J183"")"),0)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IFERROR(__xludf.DUMMYFUNCTION("IMPORTRANGE(""https://docs.google.com/spreadsheets/d/1XL5vhW3sbDhbH9Cz0tuDiY8C3ctxq1tqvaCgkFb8cCA/edit?usp=sharing"",""ศรีสะเกษ!J184"")"),0)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IFERROR(__xludf.DUMMYFUNCTION("IMPORTRANGE(""https://docs.google.com/spreadsheets/d/1XL5vhW3sbDhbH9Cz0tuDiY8C3ctxq1tqvaCgkFb8cCA/edit?usp=sharing"",""ศรีสะเกษ!I185"")"),20)</f>
        <v>20</v>
      </c>
      <c r="J270" s="316">
        <f ca="1">IFERROR(__xludf.DUMMYFUNCTION("IMPORTRANGE(""https://docs.google.com/spreadsheets/d/1XL5vhW3sbDhbH9Cz0tuDiY8C3ctxq1tqvaCgkFb8cCA/edit?usp=sharing"",""ศรีสะเกษ!J185"")"),20)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93000</v>
      </c>
      <c r="N271" s="152">
        <f t="shared" ca="1" si="83"/>
        <v>75527</v>
      </c>
      <c r="O271" s="151">
        <f t="shared" ref="O271:O273" ca="1" si="84">IF(L271&gt;0,N271*100/L271,0)</f>
        <v>41.136710239651414</v>
      </c>
      <c r="P271" s="151">
        <f t="shared" ref="P271:P273" ca="1" si="85">IF(M271&gt;0,N271*100/M271,0)</f>
        <v>81.211827956989254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93000</v>
      </c>
      <c r="N273" s="157">
        <f t="shared" ca="1" si="87"/>
        <v>75527</v>
      </c>
      <c r="O273" s="156">
        <f t="shared" ca="1" si="84"/>
        <v>41.136710239651414</v>
      </c>
      <c r="P273" s="156">
        <f t="shared" ca="1" si="85"/>
        <v>81.211827956989254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537">
        <f ca="1">IFERROR(__xludf.DUMMYFUNCTION("IMPORTRANGE(""https://docs.google.com/spreadsheets/d/1Yj_ptqi66GCucihVvJfMjLAmec39IyEx_6qawtMGysU/edit?usp=sharing"",""สบก!CK50"")"),93000)</f>
        <v>93000</v>
      </c>
      <c r="N275" s="538">
        <f ca="1">IFERROR(__xludf.DUMMYFUNCTION("IMPORTRANGE(""https://docs.google.com/spreadsheets/d/1Yj_ptqi66GCucihVvJfMjLAmec39IyEx_6qawtMGysU/edit?usp=sharing"",""สบก!CL50"")"),75527)</f>
        <v>75527</v>
      </c>
      <c r="O275" s="170">
        <f ca="1">IF(L275&gt;0,N275*100/L275,0)</f>
        <v>41.136710239651414</v>
      </c>
      <c r="P275" s="170">
        <f ca="1">IF(M275&gt;0,N275*100/M275,0)</f>
        <v>81.211827956989254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IFERROR(__xludf.DUMMYFUNCTION("IMPORTRANGE(""https://docs.google.com/spreadsheets/d/1Yj_ptqi66GCucihVvJfMjLAmec39IyEx_6qawtMGysU/edit?usp=sharing"",""สบก!CG50"")"),0)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IFERROR(__xludf.DUMMYFUNCTION("IMPORTRANGE(""https://docs.google.com/spreadsheets/d/1Yj_ptqi66GCucihVvJfMjLAmec39IyEx_6qawtMGysU/edit?usp=sharing"",""สบก!CH50"")"),183600)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IFERROR(__xludf.DUMMYFUNCTION("IMPORTRANGE(""https://docs.google.com/spreadsheets/d/1Yj_ptqi66GCucihVvJfMjLAmec39IyEx_6qawtMGysU/edit?usp=sharing"",""สบก!CI50"")"),0)</f>
        <v>0</v>
      </c>
      <c r="M279" s="536"/>
      <c r="N279" s="533">
        <f ca="1">IFERROR(__xludf.DUMMYFUNCTION("IMPORTRANGE(""https://docs.google.com/spreadsheets/d/1Yj_ptqi66GCucihVvJfMjLAmec39IyEx_6qawtMGysU/edit?usp=sharing"",""สบก!CM50"")"),0)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IFERROR(__xludf.DUMMYFUNCTION("IMPORTRANGE(""https://docs.google.com/spreadsheets/d/1XL5vhW3sbDhbH9Cz0tuDiY8C3ctxq1tqvaCgkFb8cCA/edit?usp=sharing"",""ศรีสะเกษ!J191"")"),0)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IFERROR(__xludf.DUMMYFUNCTION("IMPORTRANGE(""https://docs.google.com/spreadsheets/d/1XL5vhW3sbDhbH9Cz0tuDiY8C3ctxq1tqvaCgkFb8cCA/edit?usp=sharing"",""ศรีสะเกษ!J192"")"),1)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IFERROR(__xludf.DUMMYFUNCTION("IMPORTRANGE(""https://docs.google.com/spreadsheets/d/1XL5vhW3sbDhbH9Cz0tuDiY8C3ctxq1tqvaCgkFb8cCA/edit?usp=sharing"",""ศรีสะเกษ!J193"")"),1)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IFERROR(__xludf.DUMMYFUNCTION("IMPORTRANGE(""https://docs.google.com/spreadsheets/d/1XL5vhW3sbDhbH9Cz0tuDiY8C3ctxq1tqvaCgkFb8cCA/edit?usp=sharing"",""ศรีสะเกษ!J194"")"),1)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IFERROR(__xludf.DUMMYFUNCTION("IMPORTRANGE(""https://docs.google.com/spreadsheets/d/1XL5vhW3sbDhbH9Cz0tuDiY8C3ctxq1tqvaCgkFb8cCA/edit?usp=sharing"",""ศรีสะเกษ!I195"")"),20)</f>
        <v>20</v>
      </c>
      <c r="J285" s="190">
        <f ca="1">IFERROR(__xludf.DUMMYFUNCTION("IMPORTRANGE(""https://docs.google.com/spreadsheets/d/1XL5vhW3sbDhbH9Cz0tuDiY8C3ctxq1tqvaCgkFb8cCA/edit?usp=sharing"",""ศรีสะเกษ!J195"")"),20)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IFERROR(__xludf.DUMMYFUNCTION("IMPORTRANGE(""https://docs.google.com/spreadsheets/d/1XL5vhW3sbDhbH9Cz0tuDiY8C3ctxq1tqvaCgkFb8cCA/edit?usp=sharing"",""ศรีสะเกษ!J196"")"),0)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IFERROR(__xludf.DUMMYFUNCTION("IMPORTRANGE(""https://docs.google.com/spreadsheets/d/1XL5vhW3sbDhbH9Cz0tuDiY8C3ctxq1tqvaCgkFb8cCA/edit?usp=sharing"",""ศรีสะเกษ!I199"")"),0)</f>
        <v>0</v>
      </c>
      <c r="J289" s="316">
        <f ca="1">IFERROR(__xludf.DUMMYFUNCTION("IMPORTRANGE(""https://docs.google.com/spreadsheets/d/1XL5vhW3sbDhbH9Cz0tuDiY8C3ctxq1tqvaCgkFb8cCA/edit?usp=sharing"",""ศรีสะเกษ!J199"")"),0)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IFERROR(__xludf.DUMMYFUNCTION("IMPORTRANGE(""https://docs.google.com/spreadsheets/d/1Yj_ptqi66GCucihVvJfMjLAmec39IyEx_6qawtMGysU/edit?usp=sharing"",""สบก!CT50"")"),0)</f>
        <v>0</v>
      </c>
      <c r="N294" s="538">
        <f ca="1">IFERROR(__xludf.DUMMYFUNCTION("IMPORTRANGE(""https://docs.google.com/spreadsheets/d/1Yj_ptqi66GCucihVvJfMjLAmec39IyEx_6qawtMGysU/edit?usp=sharing"",""สบก!CU50"")"),0)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IFERROR(__xludf.DUMMYFUNCTION("IMPORTRANGE(""https://docs.google.com/spreadsheets/d/1Yj_ptqi66GCucihVvJfMjLAmec39IyEx_6qawtMGysU/edit?usp=sharing"",""สบก!CP50"")"),0)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IFERROR(__xludf.DUMMYFUNCTION("IMPORTRANGE(""https://docs.google.com/spreadsheets/d/1Yj_ptqi66GCucihVvJfMjLAmec39IyEx_6qawtMGysU/edit?usp=sharing"",""สบก!CQ50"")"),0)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IFERROR(__xludf.DUMMYFUNCTION("IMPORTRANGE(""https://docs.google.com/spreadsheets/d/1Yj_ptqi66GCucihVvJfMjLAmec39IyEx_6qawtMGysU/edit?usp=sharing"",""สบก!CR50"")"),0)</f>
        <v>0</v>
      </c>
      <c r="M298" s="536"/>
      <c r="N298" s="533">
        <f ca="1">IFERROR(__xludf.DUMMYFUNCTION("IMPORTRANGE(""https://docs.google.com/spreadsheets/d/1Yj_ptqi66GCucihVvJfMjLAmec39IyEx_6qawtMGysU/edit?usp=sharing"",""สบก!CV50"")"),0)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IFERROR(__xludf.DUMMYFUNCTION("IMPORTRANGE(""https://docs.google.com/spreadsheets/d/1XL5vhW3sbDhbH9Cz0tuDiY8C3ctxq1tqvaCgkFb8cCA/edit?usp=sharing"",""ศรีสะเกษ!I209"")"),0)</f>
        <v>0</v>
      </c>
      <c r="J304" s="205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IFERROR(__xludf.DUMMYFUNCTION("IMPORTRANGE(""https://docs.google.com/spreadsheets/d/1XL5vhW3sbDhbH9Cz0tuDiY8C3ctxq1tqvaCgkFb8cCA/edit?usp=sharing"",""ศรีสะเกษ!I211"")"),0)</f>
        <v>0</v>
      </c>
      <c r="J306" s="205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IFERROR(__xludf.DUMMYFUNCTION("IMPORTRANGE(""https://docs.google.com/spreadsheets/d/1XL5vhW3sbDhbH9Cz0tuDiY8C3ctxq1tqvaCgkFb8cCA/edit?usp=sharing"",""ศรีสะเกษ!I214"")"),0)</f>
        <v>0</v>
      </c>
      <c r="J309" s="333">
        <f ca="1">IFERROR(__xludf.DUMMYFUNCTION("IMPORTRANGE(""https://docs.google.com/spreadsheets/d/1XL5vhW3sbDhbH9Cz0tuDiY8C3ctxq1tqvaCgkFb8cCA/edit?usp=sharing"",""ศรีสะเกษ!J214"")"),0)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IFERROR(__xludf.DUMMYFUNCTION("IMPORTRANGE(""https://docs.google.com/spreadsheets/d/1Yj_ptqi66GCucihVvJfMjLAmec39IyEx_6qawtMGysU/edit?usp=sharing"",""สบก!DC50"")"),0)</f>
        <v>0</v>
      </c>
      <c r="N314" s="538">
        <f ca="1">IFERROR(__xludf.DUMMYFUNCTION("IMPORTRANGE(""https://docs.google.com/spreadsheets/d/1Yj_ptqi66GCucihVvJfMjLAmec39IyEx_6qawtMGysU/edit?usp=sharing"",""สบก!DD50"")"),0)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IFERROR(__xludf.DUMMYFUNCTION("IMPORTRANGE(""https://docs.google.com/spreadsheets/d/1Yj_ptqi66GCucihVvJfMjLAmec39IyEx_6qawtMGysU/edit?usp=sharing"",""สบก!CY50"")"),0)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IFERROR(__xludf.DUMMYFUNCTION("IMPORTRANGE(""https://docs.google.com/spreadsheets/d/1Yj_ptqi66GCucihVvJfMjLAmec39IyEx_6qawtMGysU/edit?usp=sharing"",""สบก!CZ50"")"),0)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IFERROR(__xludf.DUMMYFUNCTION("IMPORTRANGE(""https://docs.google.com/spreadsheets/d/1Yj_ptqi66GCucihVvJfMjLAmec39IyEx_6qawtMGysU/edit?usp=sharing"",""สบก!DA50"")"),0)</f>
        <v>0</v>
      </c>
      <c r="M318" s="536"/>
      <c r="N318" s="533">
        <f ca="1">IFERROR(__xludf.DUMMYFUNCTION("IMPORTRANGE(""https://docs.google.com/spreadsheets/d/1Yj_ptqi66GCucihVvJfMjLAmec39IyEx_6qawtMGysU/edit?usp=sharing"",""สบก!DE50"")"),0)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IFERROR(__xludf.DUMMYFUNCTION("IMPORTRANGE(""https://docs.google.com/spreadsheets/d/1XL5vhW3sbDhbH9Cz0tuDiY8C3ctxq1tqvaCgkFb8cCA/edit?usp=sharing"",""ศรีสะเกษ!I224"")"),0)</f>
        <v>0</v>
      </c>
      <c r="J324" s="205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IFERROR(__xludf.DUMMYFUNCTION("IMPORTRANGE(""https://docs.google.com/spreadsheets/d/1XL5vhW3sbDhbH9Cz0tuDiY8C3ctxq1tqvaCgkFb8cCA/edit?usp=sharing"",""ศรีสะเกษ!I228"")"),880)</f>
        <v>880</v>
      </c>
      <c r="J328" s="339">
        <f ca="1">IFERROR(__xludf.DUMMYFUNCTION("IMPORTRANGE(""https://docs.google.com/spreadsheets/d/1XL5vhW3sbDhbH9Cz0tuDiY8C3ctxq1tqvaCgkFb8cCA/edit?usp=sharing"",""ศรีสะเกษ!J228"")"),626)</f>
        <v>626</v>
      </c>
      <c r="K328" s="317">
        <f ca="1">IF(I328&gt;0,J328*100/I328,0)</f>
        <v>71.13636363636364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1684870</v>
      </c>
      <c r="M329" s="152">
        <f t="shared" ca="1" si="98"/>
        <v>977180</v>
      </c>
      <c r="N329" s="152">
        <f t="shared" ca="1" si="98"/>
        <v>548085</v>
      </c>
      <c r="O329" s="151">
        <f t="shared" ref="O329:O331" ca="1" si="99">IF(L329&gt;0,N329*100/L329,0)</f>
        <v>32.529809421498392</v>
      </c>
      <c r="P329" s="151">
        <f t="shared" ref="P329:P331" ca="1" si="100">IF(M329&gt;0,N329*100/M329,0)</f>
        <v>56.08843815878344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1684870</v>
      </c>
      <c r="M331" s="157">
        <f t="shared" ca="1" si="102"/>
        <v>977180</v>
      </c>
      <c r="N331" s="157">
        <f t="shared" ca="1" si="102"/>
        <v>548085</v>
      </c>
      <c r="O331" s="156">
        <f t="shared" ca="1" si="99"/>
        <v>32.529809421498392</v>
      </c>
      <c r="P331" s="156">
        <f t="shared" ca="1" si="100"/>
        <v>56.08843815878344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1667870</v>
      </c>
      <c r="M333" s="537">
        <f ca="1">IFERROR(__xludf.DUMMYFUNCTION("IMPORTRANGE(""https://docs.google.com/spreadsheets/d/1Yj_ptqi66GCucihVvJfMjLAmec39IyEx_6qawtMGysU/edit?usp=sharing"",""สบก!DL50"")"),960180)</f>
        <v>960180</v>
      </c>
      <c r="N333" s="538">
        <f ca="1">IFERROR(__xludf.DUMMYFUNCTION("IMPORTRANGE(""https://docs.google.com/spreadsheets/d/1Yj_ptqi66GCucihVvJfMjLAmec39IyEx_6qawtMGysU/edit?usp=sharing"",""สบก!DM50"")"),531085)</f>
        <v>531085</v>
      </c>
      <c r="O333" s="170">
        <f ca="1">IF(L333&gt;0,N333*100/L333,0)</f>
        <v>31.842109996582469</v>
      </c>
      <c r="P333" s="170">
        <f ca="1">IF(M333&gt;0,N333*100/M333,0)</f>
        <v>55.310983357287178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IFERROR(__xludf.DUMMYFUNCTION("IMPORTRANGE(""https://docs.google.com/spreadsheets/d/1Yj_ptqi66GCucihVvJfMjLAmec39IyEx_6qawtMGysU/edit?usp=sharing"",""สบก!DH50"")"),500400)</f>
        <v>500400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IFERROR(__xludf.DUMMYFUNCTION("IMPORTRANGE(""https://docs.google.com/spreadsheets/d/1Yj_ptqi66GCucihVvJfMjLAmec39IyEx_6qawtMGysU/edit?usp=sharing"",""สบก!DI50"")"),1167470)</f>
        <v>1167470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IFERROR(__xludf.DUMMYFUNCTION("IMPORTRANGE(""https://docs.google.com/spreadsheets/d/1Yj_ptqi66GCucihVvJfMjLAmec39IyEx_6qawtMGysU/edit?usp=sharing"",""สบก!DJ50"")"),17000)</f>
        <v>17000</v>
      </c>
      <c r="M337" s="536">
        <f ca="1">L337</f>
        <v>17000</v>
      </c>
      <c r="N337" s="533">
        <f ca="1">IFERROR(__xludf.DUMMYFUNCTION("IMPORTRANGE(""https://docs.google.com/spreadsheets/d/1Yj_ptqi66GCucihVvJfMjLAmec39IyEx_6qawtMGysU/edit?usp=sharing"",""สบก!DN50"")"),17000)</f>
        <v>17000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IFERROR(__xludf.DUMMYFUNCTION("IMPORTRANGE(""https://docs.google.com/spreadsheets/d/1XL5vhW3sbDhbH9Cz0tuDiY8C3ctxq1tqvaCgkFb8cCA/edit?usp=sharing"",""ศรีสะเกษ!I234"")"),0)</f>
        <v>0</v>
      </c>
      <c r="J339" s="189">
        <f ca="1">IFERROR(__xludf.DUMMYFUNCTION("IMPORTRANGE(""https://docs.google.com/spreadsheets/d/1XL5vhW3sbDhbH9Cz0tuDiY8C3ctxq1tqvaCgkFb8cCA/edit?usp=sharing"",""ศรีสะเกษ!J234"")"),459)</f>
        <v>459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IFERROR(__xludf.DUMMYFUNCTION("IMPORTRANGE(""https://docs.google.com/spreadsheets/d/1XL5vhW3sbDhbH9Cz0tuDiY8C3ctxq1tqvaCgkFb8cCA/edit?usp=sharing"",""ศรีสะเกษ!I235"")"),7760)</f>
        <v>7760</v>
      </c>
      <c r="J340" s="189">
        <f ca="1">IFERROR(__xludf.DUMMYFUNCTION("IMPORTRANGE(""https://docs.google.com/spreadsheets/d/1XL5vhW3sbDhbH9Cz0tuDiY8C3ctxq1tqvaCgkFb8cCA/edit?usp=sharing"",""ศรีสะเกษ!J235"")"),3152.2)</f>
        <v>3152.2</v>
      </c>
      <c r="K340" s="342">
        <f t="shared" ca="1" si="103"/>
        <v>40.621134020618555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IFERROR(__xludf.DUMMYFUNCTION("IMPORTRANGE(""https://docs.google.com/spreadsheets/d/1XL5vhW3sbDhbH9Cz0tuDiY8C3ctxq1tqvaCgkFb8cCA/edit?usp=sharing"",""ศรีสะเกษ!I236"")"),880)</f>
        <v>880</v>
      </c>
      <c r="J341" s="189">
        <f ca="1">IFERROR(__xludf.DUMMYFUNCTION("IMPORTRANGE(""https://docs.google.com/spreadsheets/d/1XL5vhW3sbDhbH9Cz0tuDiY8C3ctxq1tqvaCgkFb8cCA/edit?usp=sharing"",""ศรีสะเกษ!J236"")"),916)</f>
        <v>916</v>
      </c>
      <c r="K341" s="342">
        <f t="shared" ca="1" si="103"/>
        <v>104.09090909090909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9">
        <f ca="1">IFERROR(__xludf.DUMMYFUNCTION("IMPORTRANGE(""https://docs.google.com/spreadsheets/d/1XL5vhW3sbDhbH9Cz0tuDiY8C3ctxq1tqvaCgkFb8cCA/edit?usp=sharing"",""ศรีสะเกษ!J237"")"),7042.82)</f>
        <v>7042.82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IFERROR(__xludf.DUMMYFUNCTION("IMPORTRANGE(""https://docs.google.com/spreadsheets/d/1XL5vhW3sbDhbH9Cz0tuDiY8C3ctxq1tqvaCgkFb8cCA/edit?usp=sharing"",""ศรีสะเกษ!I238"")"),880)</f>
        <v>880</v>
      </c>
      <c r="J343" s="189">
        <f ca="1">IFERROR(__xludf.DUMMYFUNCTION("IMPORTRANGE(""https://docs.google.com/spreadsheets/d/1XL5vhW3sbDhbH9Cz0tuDiY8C3ctxq1tqvaCgkFb8cCA/edit?usp=sharing"",""ศรีสะเกษ!J238"")"),0)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9">
        <f ca="1">IFERROR(__xludf.DUMMYFUNCTION("IMPORTRANGE(""https://docs.google.com/spreadsheets/d/1XL5vhW3sbDhbH9Cz0tuDiY8C3ctxq1tqvaCgkFb8cCA/edit?usp=sharing"",""ศรีสะเกษ!J239"")"),0)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IFERROR(__xludf.DUMMYFUNCTION("IMPORTRANGE(""https://docs.google.com/spreadsheets/d/1XL5vhW3sbDhbH9Cz0tuDiY8C3ctxq1tqvaCgkFb8cCA/edit?usp=sharing"",""ศรีสะเกษ!I240"")"),880)</f>
        <v>880</v>
      </c>
      <c r="J345" s="189">
        <f ca="1">IFERROR(__xludf.DUMMYFUNCTION("IMPORTRANGE(""https://docs.google.com/spreadsheets/d/1XL5vhW3sbDhbH9Cz0tuDiY8C3ctxq1tqvaCgkFb8cCA/edit?usp=sharing"",""ศรีสะเกษ!J240"")"),626)</f>
        <v>626</v>
      </c>
      <c r="K345" s="342">
        <f t="shared" ca="1" si="103"/>
        <v>71.13636363636364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9">
        <f ca="1">IFERROR(__xludf.DUMMYFUNCTION("IMPORTRANGE(""https://docs.google.com/spreadsheets/d/1XL5vhW3sbDhbH9Cz0tuDiY8C3ctxq1tqvaCgkFb8cCA/edit?usp=sharing"",""ศรีสะเกษ!J241"")"),4895.82)</f>
        <v>4895.82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IFERROR(__xludf.DUMMYFUNCTION("IMPORTRANGE(""https://docs.google.com/spreadsheets/d/1XL5vhW3sbDhbH9Cz0tuDiY8C3ctxq1tqvaCgkFb8cCA/edit?usp=sharing"",""ศรีสะเกษ!L242"")"),3187321)</f>
        <v>3187321</v>
      </c>
      <c r="M347" s="358"/>
      <c r="N347" s="358">
        <f ca="1">IFERROR(__xludf.DUMMYFUNCTION("IMPORTRANGE(""https://docs.google.com/spreadsheets/d/1XL5vhW3sbDhbH9Cz0tuDiY8C3ctxq1tqvaCgkFb8cCA/edit?usp=sharing"",""ศรีสะเกษ!M242"")"),356624.97)</f>
        <v>356624.97</v>
      </c>
      <c r="O347" s="358">
        <f ca="1">+IF(L347&gt;0,N347*100/L347,0)</f>
        <v>11.188862684367216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IFERROR(__xludf.DUMMYFUNCTION("IMPORTRANGE(""https://docs.google.com/spreadsheets/d/1XL5vhW3sbDhbH9Cz0tuDiY8C3ctxq1tqvaCgkFb8cCA/edit?usp=sharing"",""ศรีสะเกษ!M244"")"),18451.64)</f>
        <v>18451.64</v>
      </c>
      <c r="O349" s="373">
        <f ca="1">+IF(L349&gt;0,N349*100/L349,0)</f>
        <v>4.9446993246864617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IFERROR(__xludf.DUMMYFUNCTION("IMPORTRANGE(""https://docs.google.com/spreadsheets/d/1XL5vhW3sbDhbH9Cz0tuDiY8C3ctxq1tqvaCgkFb8cCA/edit?usp=sharing"",""ศรีสะเกษ!L246"")"),0)</f>
        <v>0</v>
      </c>
      <c r="M351" s="166"/>
      <c r="N351" s="166">
        <f ca="1">IFERROR(__xludf.DUMMYFUNCTION("IMPORTRANGE(""https://docs.google.com/spreadsheets/d/1XL5vhW3sbDhbH9Cz0tuDiY8C3ctxq1tqvaCgkFb8cCA/edit?usp=sharing"",""ศรีสะเกษ!M246"")"),0)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IFERROR(__xludf.DUMMYFUNCTION("IMPORTRANGE(""https://docs.google.com/spreadsheets/d/1XL5vhW3sbDhbH9Cz0tuDiY8C3ctxq1tqvaCgkFb8cCA/edit?usp=sharing"",""ศรีสะเกษ!L247"")"),373160)</f>
        <v>373160</v>
      </c>
      <c r="M352" s="167"/>
      <c r="N352" s="166">
        <f ca="1">IFERROR(__xludf.DUMMYFUNCTION("IMPORTRANGE(""https://docs.google.com/spreadsheets/d/1XL5vhW3sbDhbH9Cz0tuDiY8C3ctxq1tqvaCgkFb8cCA/edit?usp=sharing"",""ศรีสะเกษ!M247"")"),18451.64)</f>
        <v>18451.64</v>
      </c>
      <c r="O352" s="167">
        <f t="shared" ca="1" si="105"/>
        <v>4.9446993246864617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IFERROR(__xludf.DUMMYFUNCTION("IMPORTRANGE(""https://docs.google.com/spreadsheets/d/1XL5vhW3sbDhbH9Cz0tuDiY8C3ctxq1tqvaCgkFb8cCA/edit?usp=sharing"",""ศรีสะเกษ!L248"")"),0)</f>
        <v>0</v>
      </c>
      <c r="M353" s="170"/>
      <c r="N353" s="170">
        <f ca="1">IFERROR(__xludf.DUMMYFUNCTION("IMPORTRANGE(""https://docs.google.com/spreadsheets/d/1XL5vhW3sbDhbH9Cz0tuDiY8C3ctxq1tqvaCgkFb8cCA/edit?usp=sharing"",""ศรีสะเกษ!M248"")"),0)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IFERROR(__xludf.DUMMYFUNCTION("IMPORTRANGE(""https://docs.google.com/spreadsheets/d/1XL5vhW3sbDhbH9Cz0tuDiY8C3ctxq1tqvaCgkFb8cCA/edit?usp=sharing"",""ศรีสะเกษ!L249"")"),373160)</f>
        <v>373160</v>
      </c>
      <c r="M354" s="170"/>
      <c r="N354" s="169">
        <f ca="1">IFERROR(__xludf.DUMMYFUNCTION("IMPORTRANGE(""https://docs.google.com/spreadsheets/d/1XL5vhW3sbDhbH9Cz0tuDiY8C3ctxq1tqvaCgkFb8cCA/edit?usp=sharing"",""ศรีสะเกษ!M249"")"),18451.64)</f>
        <v>18451.64</v>
      </c>
      <c r="O354" s="170">
        <f t="shared" ca="1" si="105"/>
        <v>4.9446993246864617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IFERROR(__xludf.DUMMYFUNCTION("IMPORTRANGE(""https://docs.google.com/spreadsheets/d/1XL5vhW3sbDhbH9Cz0tuDiY8C3ctxq1tqvaCgkFb8cCA/edit?usp=sharing"",""ศรีสะเกษ!M250"")"),0)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IFERROR(__xludf.DUMMYFUNCTION("IMPORTRANGE(""https://docs.google.com/spreadsheets/d/1XL5vhW3sbDhbH9Cz0tuDiY8C3ctxq1tqvaCgkFb8cCA/edit?usp=sharing"",""ศรีสะเกษ!M251"")"),0)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IFERROR(__xludf.DUMMYFUNCTION("IMPORTRANGE(""https://docs.google.com/spreadsheets/d/1XL5vhW3sbDhbH9Cz0tuDiY8C3ctxq1tqvaCgkFb8cCA/edit?usp=sharing"",""ศรีสะเกษ!M252"")"),18451.64)</f>
        <v>18451.64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IFERROR(__xludf.DUMMYFUNCTION("IMPORTRANGE(""https://docs.google.com/spreadsheets/d/1XL5vhW3sbDhbH9Cz0tuDiY8C3ctxq1tqvaCgkFb8cCA/edit?usp=sharing"",""ศรีสะเกษ!M253"")"),0)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IFERROR(__xludf.DUMMYFUNCTION("IMPORTRANGE(""https://docs.google.com/spreadsheets/d/1XL5vhW3sbDhbH9Cz0tuDiY8C3ctxq1tqvaCgkFb8cCA/edit?usp=sharing"",""ศรีสะเกษ!J255"")"),0)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IFERROR(__xludf.DUMMYFUNCTION("IMPORTRANGE(""https://docs.google.com/spreadsheets/d/1XL5vhW3sbDhbH9Cz0tuDiY8C3ctxq1tqvaCgkFb8cCA/edit?usp=sharing"",""ศรีสะเกษ!J256"")"),1)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IFERROR(__xludf.DUMMYFUNCTION("IMPORTRANGE(""https://docs.google.com/spreadsheets/d/1XL5vhW3sbDhbH9Cz0tuDiY8C3ctxq1tqvaCgkFb8cCA/edit?usp=sharing"",""ศรีสะเกษ!J257"")"),0)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IFERROR(__xludf.DUMMYFUNCTION("IMPORTRANGE(""https://docs.google.com/spreadsheets/d/1XL5vhW3sbDhbH9Cz0tuDiY8C3ctxq1tqvaCgkFb8cCA/edit?usp=sharing"",""ศรีสะเกษ!J258"")"),0)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IFERROR(__xludf.DUMMYFUNCTION("IMPORTRANGE(""https://docs.google.com/spreadsheets/d/1XL5vhW3sbDhbH9Cz0tuDiY8C3ctxq1tqvaCgkFb8cCA/edit?usp=sharing"",""ศรีสะเกษ!J166"")"),0)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IFERROR(__xludf.DUMMYFUNCTION("IMPORTRANGE(""https://docs.google.com/spreadsheets/d/1XL5vhW3sbDhbH9Cz0tuDiY8C3ctxq1tqvaCgkFb8cCA/edit?usp=sharing"",""ศรีสะเกษ!J166"")"),0)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IFERROR(__xludf.DUMMYFUNCTION("IMPORTRANGE(""https://docs.google.com/spreadsheets/d/1XL5vhW3sbDhbH9Cz0tuDiY8C3ctxq1tqvaCgkFb8cCA/edit?usp=sharing"",""ศรีสะเกษ!J166"")"),0)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IFERROR(__xludf.DUMMYFUNCTION("IMPORTRANGE(""https://docs.google.com/spreadsheets/d/1XL5vhW3sbDhbH9Cz0tuDiY8C3ctxq1tqvaCgkFb8cCA/edit?usp=sharing"",""ศรีสะเกษ!J166"")"),0)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IFERROR(__xludf.DUMMYFUNCTION("IMPORTRANGE(""https://docs.google.com/spreadsheets/d/1XL5vhW3sbDhbH9Cz0tuDiY8C3ctxq1tqvaCgkFb8cCA/edit?usp=sharing"",""ศรีสะเกษ!I263"")"),40)</f>
        <v>40</v>
      </c>
      <c r="J368" s="189">
        <f ca="1">IFERROR(__xludf.DUMMYFUNCTION("IMPORTRANGE(""https://docs.google.com/spreadsheets/d/1XL5vhW3sbDhbH9Cz0tuDiY8C3ctxq1tqvaCgkFb8cCA/edit?usp=sharing"",""ศรีสะเกษ!J263"")"),0)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IFERROR(__xludf.DUMMYFUNCTION("IMPORTRANGE(""https://docs.google.com/spreadsheets/d/1XL5vhW3sbDhbH9Cz0tuDiY8C3ctxq1tqvaCgkFb8cCA/edit?usp=sharing"",""ศรีสะเกษ!I164"")"),0)</f>
        <v>0</v>
      </c>
      <c r="J369" s="205">
        <f ca="1">IFERROR(__xludf.DUMMYFUNCTION("IMPORTRANGE(""https://docs.google.com/spreadsheets/d/1XL5vhW3sbDhbH9Cz0tuDiY8C3ctxq1tqvaCgkFb8cCA/edit?usp=sharing"",""ศรีสะเกษ!J164"")"),0)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IFERROR(__xludf.DUMMYFUNCTION("IMPORTRANGE(""https://docs.google.com/spreadsheets/d/1XL5vhW3sbDhbH9Cz0tuDiY8C3ctxq1tqvaCgkFb8cCA/edit?usp=sharing"",""ศรีสะเกษ!I265"")"),40)</f>
        <v>40</v>
      </c>
      <c r="J370" s="205">
        <f ca="1">IFERROR(__xludf.DUMMYFUNCTION("IMPORTRANGE(""https://docs.google.com/spreadsheets/d/1XL5vhW3sbDhbH9Cz0tuDiY8C3ctxq1tqvaCgkFb8cCA/edit?usp=sharing"",""ศรีสะเกษ!J265"")"),0)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IFERROR(__xludf.DUMMYFUNCTION("IMPORTRANGE(""https://docs.google.com/spreadsheets/d/1XL5vhW3sbDhbH9Cz0tuDiY8C3ctxq1tqvaCgkFb8cCA/edit?usp=sharing"",""ศรีสะเกษ!I164"")"),0)</f>
        <v>0</v>
      </c>
      <c r="J371" s="190">
        <f ca="1">IFERROR(__xludf.DUMMYFUNCTION("IMPORTRANGE(""https://docs.google.com/spreadsheets/d/1XL5vhW3sbDhbH9Cz0tuDiY8C3ctxq1tqvaCgkFb8cCA/edit?usp=sharing"",""ศรีสะเกษ!J164"")"),0)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IFERROR(__xludf.DUMMYFUNCTION("IMPORTRANGE(""https://docs.google.com/spreadsheets/d/1XL5vhW3sbDhbH9Cz0tuDiY8C3ctxq1tqvaCgkFb8cCA/edit?usp=sharing"",""ศรีสะเกษ!I267"")"),40)</f>
        <v>40</v>
      </c>
      <c r="J372" s="190">
        <f ca="1">IFERROR(__xludf.DUMMYFUNCTION("IMPORTRANGE(""https://docs.google.com/spreadsheets/d/1XL5vhW3sbDhbH9Cz0tuDiY8C3ctxq1tqvaCgkFb8cCA/edit?usp=sharing"",""ศรีสะเกษ!J267"")"),0)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IFERROR(__xludf.DUMMYFUNCTION("IMPORTRANGE(""https://docs.google.com/spreadsheets/d/1XL5vhW3sbDhbH9Cz0tuDiY8C3ctxq1tqvaCgkFb8cCA/edit?usp=sharing"",""ศรีสะเกษ!I164"")"),0)</f>
        <v>0</v>
      </c>
      <c r="J373" s="205">
        <f ca="1">IFERROR(__xludf.DUMMYFUNCTION("IMPORTRANGE(""https://docs.google.com/spreadsheets/d/1XL5vhW3sbDhbH9Cz0tuDiY8C3ctxq1tqvaCgkFb8cCA/edit?usp=sharing"",""ศรีสะเกษ!J164"")"),0)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IFERROR(__xludf.DUMMYFUNCTION("IMPORTRANGE(""https://docs.google.com/spreadsheets/d/1XL5vhW3sbDhbH9Cz0tuDiY8C3ctxq1tqvaCgkFb8cCA/edit?usp=sharing"",""ศรีสะเกษ!I164"")"),0)</f>
        <v>0</v>
      </c>
      <c r="J374" s="189">
        <f ca="1">IFERROR(__xludf.DUMMYFUNCTION("IMPORTRANGE(""https://docs.google.com/spreadsheets/d/1XL5vhW3sbDhbH9Cz0tuDiY8C3ctxq1tqvaCgkFb8cCA/edit?usp=sharing"",""ศรีสะเกษ!J164"")"),0)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IFERROR(__xludf.DUMMYFUNCTION("IMPORTRANGE(""https://docs.google.com/spreadsheets/d/1XL5vhW3sbDhbH9Cz0tuDiY8C3ctxq1tqvaCgkFb8cCA/edit?usp=sharing"",""ศรีสะเกษ!I270"")"),200)</f>
        <v>200</v>
      </c>
      <c r="J375" s="189">
        <f ca="1">IFERROR(__xludf.DUMMYFUNCTION("IMPORTRANGE(""https://docs.google.com/spreadsheets/d/1XL5vhW3sbDhbH9Cz0tuDiY8C3ctxq1tqvaCgkFb8cCA/edit?usp=sharing"",""ศรีสะเกษ!J270"")"),0)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IFERROR(__xludf.DUMMYFUNCTION("IMPORTRANGE(""https://docs.google.com/spreadsheets/d/1XL5vhW3sbDhbH9Cz0tuDiY8C3ctxq1tqvaCgkFb8cCA/edit?usp=sharing"",""ศรีสะเกษ!I271"")"),0)</f>
        <v>0</v>
      </c>
      <c r="J376" s="190">
        <f ca="1">IFERROR(__xludf.DUMMYFUNCTION("IMPORTRANGE(""https://docs.google.com/spreadsheets/d/1XL5vhW3sbDhbH9Cz0tuDiY8C3ctxq1tqvaCgkFb8cCA/edit?usp=sharing"",""ศรีสะเกษ!J271"")"),0)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IFERROR(__xludf.DUMMYFUNCTION("IMPORTRANGE(""https://docs.google.com/spreadsheets/d/1XL5vhW3sbDhbH9Cz0tuDiY8C3ctxq1tqvaCgkFb8cCA/edit?usp=sharing"",""ศรีสะเกษ!I272"")"),200)</f>
        <v>200</v>
      </c>
      <c r="J377" s="205">
        <f ca="1">IFERROR(__xludf.DUMMYFUNCTION("IMPORTRANGE(""https://docs.google.com/spreadsheets/d/1XL5vhW3sbDhbH9Cz0tuDiY8C3ctxq1tqvaCgkFb8cCA/edit?usp=sharing"",""ศรีสะเกษ!J272"")"),0)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IFERROR(__xludf.DUMMYFUNCTION("IMPORTRANGE(""https://docs.google.com/spreadsheets/d/1XL5vhW3sbDhbH9Cz0tuDiY8C3ctxq1tqvaCgkFb8cCA/edit?usp=sharing"",""ศรีสะเกษ!J273"")"),0)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IFERROR(__xludf.DUMMYFUNCTION("IMPORTRANGE(""https://docs.google.com/spreadsheets/d/1XL5vhW3sbDhbH9Cz0tuDiY8C3ctxq1tqvaCgkFb8cCA/edit?usp=sharing"",""ศรีสะเกษ!M275"")"),150086.64)</f>
        <v>150086.64000000001</v>
      </c>
      <c r="O380" s="373">
        <f ca="1">+IF(L380&gt;0,N380*100/L380,0)</f>
        <v>14.592486290981217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IFERROR(__xludf.DUMMYFUNCTION("IMPORTRANGE(""https://docs.google.com/spreadsheets/d/1XL5vhW3sbDhbH9Cz0tuDiY8C3ctxq1tqvaCgkFb8cCA/edit?usp=sharing"",""ศรีสะเกษ!L277"")"),0)</f>
        <v>0</v>
      </c>
      <c r="M382" s="166"/>
      <c r="N382" s="166">
        <f ca="1">IFERROR(__xludf.DUMMYFUNCTION("IMPORTRANGE(""https://docs.google.com/spreadsheets/d/1XL5vhW3sbDhbH9Cz0tuDiY8C3ctxq1tqvaCgkFb8cCA/edit?usp=sharing"",""ศรีสะเกษ!M277"")"),0)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IFERROR(__xludf.DUMMYFUNCTION("IMPORTRANGE(""https://docs.google.com/spreadsheets/d/1XL5vhW3sbDhbH9Cz0tuDiY8C3ctxq1tqvaCgkFb8cCA/edit?usp=sharing"",""ศรีสะเกษ!L278"")"),1028520)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IFERROR(__xludf.DUMMYFUNCTION("IMPORTRANGE(""https://docs.google.com/spreadsheets/d/1XL5vhW3sbDhbH9Cz0tuDiY8C3ctxq1tqvaCgkFb8cCA/edit?usp=sharing"",""ศรีสะเกษ!M278"")"),150086.64)</f>
        <v>150086.64000000001</v>
      </c>
      <c r="O383" s="167">
        <f t="shared" ca="1" si="109"/>
        <v>14.592486290981217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IFERROR(__xludf.DUMMYFUNCTION("IMPORTRANGE(""https://docs.google.com/spreadsheets/d/1XL5vhW3sbDhbH9Cz0tuDiY8C3ctxq1tqvaCgkFb8cCA/edit?usp=sharing"",""ศรีสะเกษ!L279"")"),0)</f>
        <v>0</v>
      </c>
      <c r="M384" s="170"/>
      <c r="N384" s="170">
        <f ca="1">IFERROR(__xludf.DUMMYFUNCTION("IMPORTRANGE(""https://docs.google.com/spreadsheets/d/1XL5vhW3sbDhbH9Cz0tuDiY8C3ctxq1tqvaCgkFb8cCA/edit?usp=sharing"",""ศรีสะเกษ!M279"")"),0)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IFERROR(__xludf.DUMMYFUNCTION("IMPORTRANGE(""https://docs.google.com/spreadsheets/d/1XL5vhW3sbDhbH9Cz0tuDiY8C3ctxq1tqvaCgkFb8cCA/edit?usp=sharing"",""ศรีสะเกษ!L280"")"),1028520)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IFERROR(__xludf.DUMMYFUNCTION("IMPORTRANGE(""https://docs.google.com/spreadsheets/d/1XL5vhW3sbDhbH9Cz0tuDiY8C3ctxq1tqvaCgkFb8cCA/edit?usp=sharing"",""ศรีสะเกษ!M280"")"),150086.64)</f>
        <v>150086.64000000001</v>
      </c>
      <c r="O385" s="170">
        <f t="shared" ca="1" si="109"/>
        <v>14.592486290981217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IFERROR(__xludf.DUMMYFUNCTION("IMPORTRANGE(""https://docs.google.com/spreadsheets/d/1XL5vhW3sbDhbH9Cz0tuDiY8C3ctxq1tqvaCgkFb8cCA/edit?usp=sharing"",""ศรีสะเกษ!M281"")"),83675)</f>
        <v>83675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IFERROR(__xludf.DUMMYFUNCTION("IMPORTRANGE(""https://docs.google.com/spreadsheets/d/1XL5vhW3sbDhbH9Cz0tuDiY8C3ctxq1tqvaCgkFb8cCA/edit?usp=sharing"",""ศรีสะเกษ!M283"")"),51451.64)</f>
        <v>51451.64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IFERROR(__xludf.DUMMYFUNCTION("IMPORTRANGE(""https://docs.google.com/spreadsheets/d/1XL5vhW3sbDhbH9Cz0tuDiY8C3ctxq1tqvaCgkFb8cCA/edit?usp=sharing"",""ศรีสะเกษ!M284"")"),14960)</f>
        <v>14960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IFERROR(__xludf.DUMMYFUNCTION("IMPORTRANGE(""https://docs.google.com/spreadsheets/d/1XL5vhW3sbDhbH9Cz0tuDiY8C3ctxq1tqvaCgkFb8cCA/edit?usp=sharing"",""ศรีสะเกษ!J286"")"),0)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IFERROR(__xludf.DUMMYFUNCTION("IMPORTRANGE(""https://docs.google.com/spreadsheets/d/1XL5vhW3sbDhbH9Cz0tuDiY8C3ctxq1tqvaCgkFb8cCA/edit?usp=sharing"",""ศรีสะเกษ!J287"")"),1)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IFERROR(__xludf.DUMMYFUNCTION("IMPORTRANGE(""https://docs.google.com/spreadsheets/d/1XL5vhW3sbDhbH9Cz0tuDiY8C3ctxq1tqvaCgkFb8cCA/edit?usp=sharing"",""ศรีสะเกษ!J288"")"),0)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IFERROR(__xludf.DUMMYFUNCTION("IMPORTRANGE(""https://docs.google.com/spreadsheets/d/1XL5vhW3sbDhbH9Cz0tuDiY8C3ctxq1tqvaCgkFb8cCA/edit?usp=sharing"",""ศรีสะเกษ!J289"")"),0)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IFERROR(__xludf.DUMMYFUNCTION("IMPORTRANGE(""https://docs.google.com/spreadsheets/d/1XL5vhW3sbDhbH9Cz0tuDiY8C3ctxq1tqvaCgkFb8cCA/edit?usp=sharing"",""ศรีสะเกษ!I291"")"),100)</f>
        <v>100</v>
      </c>
      <c r="J396" s="199">
        <f ca="1">IFERROR(__xludf.DUMMYFUNCTION("IMPORTRANGE(""https://docs.google.com/spreadsheets/d/1XL5vhW3sbDhbH9Cz0tuDiY8C3ctxq1tqvaCgkFb8cCA/edit?usp=sharing"",""ศรีสะเกษ!J291"")"),100)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IFERROR(__xludf.DUMMYFUNCTION("IMPORTRANGE(""https://docs.google.com/spreadsheets/d/1XL5vhW3sbDhbH9Cz0tuDiY8C3ctxq1tqvaCgkFb8cCA/edit?usp=sharing"",""ศรีสะเกษ!I292"")"),1000)</f>
        <v>1000</v>
      </c>
      <c r="J397" s="199">
        <f ca="1">IFERROR(__xludf.DUMMYFUNCTION("IMPORTRANGE(""https://docs.google.com/spreadsheets/d/1XL5vhW3sbDhbH9Cz0tuDiY8C3ctxq1tqvaCgkFb8cCA/edit?usp=sharing"",""ศรีสะเกษ!J292"")"),0)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IFERROR(__xludf.DUMMYFUNCTION("IMPORTRANGE(""https://docs.google.com/spreadsheets/d/1XL5vhW3sbDhbH9Cz0tuDiY8C3ctxq1tqvaCgkFb8cCA/edit?usp=sharing"",""ศรีสะเกษ!I293"")"),100)</f>
        <v>100</v>
      </c>
      <c r="J398" s="199">
        <f ca="1">IFERROR(__xludf.DUMMYFUNCTION("IMPORTRANGE(""https://docs.google.com/spreadsheets/d/1XL5vhW3sbDhbH9Cz0tuDiY8C3ctxq1tqvaCgkFb8cCA/edit?usp=sharing"",""ศรีสะเกษ!J293"")"),0)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IFERROR(__xludf.DUMMYFUNCTION("IMPORTRANGE(""https://docs.google.com/spreadsheets/d/1XL5vhW3sbDhbH9Cz0tuDiY8C3ctxq1tqvaCgkFb8cCA/edit?usp=sharing"",""ศรีสะเกษ!J294"")"),0)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IFERROR(__xludf.DUMMYFUNCTION("IMPORTRANGE(""https://docs.google.com/spreadsheets/d/1XL5vhW3sbDhbH9Cz0tuDiY8C3ctxq1tqvaCgkFb8cCA/edit?usp=sharing"",""ศรีสะเกษ!M296"")"),104270)</f>
        <v>104270</v>
      </c>
      <c r="O401" s="373">
        <f ca="1">+IF(L401&gt;0,N401*100/L401,0)</f>
        <v>50.535549847331943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IFERROR(__xludf.DUMMYFUNCTION("IMPORTRANGE(""https://docs.google.com/spreadsheets/d/1XL5vhW3sbDhbH9Cz0tuDiY8C3ctxq1tqvaCgkFb8cCA/edit?usp=sharing"",""ศรีสะเกษ!J297"")"),52)</f>
        <v>52</v>
      </c>
      <c r="K402" s="372">
        <f t="shared" ca="1" si="111"/>
        <v>80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IFERROR(__xludf.DUMMYFUNCTION("IMPORTRANGE(""https://docs.google.com/spreadsheets/d/1XL5vhW3sbDhbH9Cz0tuDiY8C3ctxq1tqvaCgkFb8cCA/edit?usp=sharing"",""ศรีสะเกษ!L298"")"),0)</f>
        <v>0</v>
      </c>
      <c r="M403" s="166"/>
      <c r="N403" s="170">
        <f ca="1">IFERROR(__xludf.DUMMYFUNCTION("IMPORTRANGE(""https://docs.google.com/spreadsheets/d/1XL5vhW3sbDhbH9Cz0tuDiY8C3ctxq1tqvaCgkFb8cCA/edit?usp=sharing"",""ศรีสะเกษ!M298"")"),0)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IFERROR(__xludf.DUMMYFUNCTION("IMPORTRANGE(""https://docs.google.com/spreadsheets/d/1XL5vhW3sbDhbH9Cz0tuDiY8C3ctxq1tqvaCgkFb8cCA/edit?usp=sharing"",""ศรีสะเกษ!L299"")"),206330)</f>
        <v>206330</v>
      </c>
      <c r="M404" s="167"/>
      <c r="N404" s="170">
        <f ca="1">IFERROR(__xludf.DUMMYFUNCTION("IMPORTRANGE(""https://docs.google.com/spreadsheets/d/1XL5vhW3sbDhbH9Cz0tuDiY8C3ctxq1tqvaCgkFb8cCA/edit?usp=sharing"",""ศรีสะเกษ!M299"")"),104270)</f>
        <v>104270</v>
      </c>
      <c r="O404" s="170">
        <f t="shared" ca="1" si="112"/>
        <v>50.535549847331943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IFERROR(__xludf.DUMMYFUNCTION("IMPORTRANGE(""https://docs.google.com/spreadsheets/d/1XL5vhW3sbDhbH9Cz0tuDiY8C3ctxq1tqvaCgkFb8cCA/edit?usp=sharing"",""ศรีสะเกษ!L300"")"),0)</f>
        <v>0</v>
      </c>
      <c r="M405" s="170"/>
      <c r="N405" s="170">
        <f ca="1">IFERROR(__xludf.DUMMYFUNCTION("IMPORTRANGE(""https://docs.google.com/spreadsheets/d/1XL5vhW3sbDhbH9Cz0tuDiY8C3ctxq1tqvaCgkFb8cCA/edit?usp=sharing"",""ศรีสะเกษ!M300"")"),0)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IFERROR(__xludf.DUMMYFUNCTION("IMPORTRANGE(""https://docs.google.com/spreadsheets/d/1XL5vhW3sbDhbH9Cz0tuDiY8C3ctxq1tqvaCgkFb8cCA/edit?usp=sharing"",""ศรีสะเกษ!L301"")"),206330)</f>
        <v>206330</v>
      </c>
      <c r="M406" s="170"/>
      <c r="N406" s="170">
        <f ca="1">IFERROR(__xludf.DUMMYFUNCTION("IMPORTRANGE(""https://docs.google.com/spreadsheets/d/1XL5vhW3sbDhbH9Cz0tuDiY8C3ctxq1tqvaCgkFb8cCA/edit?usp=sharing"",""ศรีสะเกษ!M301"")"),104270)</f>
        <v>104270</v>
      </c>
      <c r="O406" s="170">
        <f t="shared" ca="1" si="112"/>
        <v>50.535549847331943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IFERROR(__xludf.DUMMYFUNCTION("IMPORTRANGE(""https://docs.google.com/spreadsheets/d/1XL5vhW3sbDhbH9Cz0tuDiY8C3ctxq1tqvaCgkFb8cCA/edit?usp=sharing"",""ศรีสะเกษ!M302"")"),93770)</f>
        <v>93770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IFERROR(__xludf.DUMMYFUNCTION("IMPORTRANGE(""https://docs.google.com/spreadsheets/d/1XL5vhW3sbDhbH9Cz0tuDiY8C3ctxq1tqvaCgkFb8cCA/edit?usp=sharing"",""ศรีสะเกษ!M303"")"),0)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IFERROR(__xludf.DUMMYFUNCTION("IMPORTRANGE(""https://docs.google.com/spreadsheets/d/1XL5vhW3sbDhbH9Cz0tuDiY8C3ctxq1tqvaCgkFb8cCA/edit?usp=sharing"",""ศรีสะเกษ!M305"")"),10500)</f>
        <v>10500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IFERROR(__xludf.DUMMYFUNCTION("IMPORTRANGE(""https://docs.google.com/spreadsheets/d/1XL5vhW3sbDhbH9Cz0tuDiY8C3ctxq1tqvaCgkFb8cCA/edit?usp=sharing"",""ศรีสะเกษ!J307"")"),0)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IFERROR(__xludf.DUMMYFUNCTION("IMPORTRANGE(""https://docs.google.com/spreadsheets/d/1XL5vhW3sbDhbH9Cz0tuDiY8C3ctxq1tqvaCgkFb8cCA/edit?usp=sharing"",""ศรีสะเกษ!J308"")"),1)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IFERROR(__xludf.DUMMYFUNCTION("IMPORTRANGE(""https://docs.google.com/spreadsheets/d/1XL5vhW3sbDhbH9Cz0tuDiY8C3ctxq1tqvaCgkFb8cCA/edit?usp=sharing"",""ศรีสะเกษ!J309"")"),1)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IFERROR(__xludf.DUMMYFUNCTION("IMPORTRANGE(""https://docs.google.com/spreadsheets/d/1XL5vhW3sbDhbH9Cz0tuDiY8C3ctxq1tqvaCgkFb8cCA/edit?usp=sharing"",""ศรีสะเกษ!J310"")"),1)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IFERROR(__xludf.DUMMYFUNCTION("IMPORTRANGE(""https://docs.google.com/spreadsheets/d/1XL5vhW3sbDhbH9Cz0tuDiY8C3ctxq1tqvaCgkFb8cCA/edit?usp=sharing"",""ศรีสะเกษ!I311"")"),65)</f>
        <v>65</v>
      </c>
      <c r="J416" s="202">
        <f ca="1">IFERROR(__xludf.DUMMYFUNCTION("IMPORTRANGE(""https://docs.google.com/spreadsheets/d/1XL5vhW3sbDhbH9Cz0tuDiY8C3ctxq1tqvaCgkFb8cCA/edit?usp=sharing"",""ศรีสะเกษ!J311"")"),52)</f>
        <v>52</v>
      </c>
      <c r="K416" s="203">
        <f t="shared" ref="K416:K432" ca="1" si="113">IF(I416&gt;0,J416*100/I416,0)</f>
        <v>80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IFERROR(__xludf.DUMMYFUNCTION("IMPORTRANGE(""https://docs.google.com/spreadsheets/d/1XL5vhW3sbDhbH9Cz0tuDiY8C3ctxq1tqvaCgkFb8cCA/edit?usp=sharing"",""ศรีสะเกษ!J314"")"),1)</f>
        <v>1</v>
      </c>
      <c r="K419" s="165">
        <f t="shared" ca="1" si="113"/>
        <v>7.6923076923076925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IFERROR(__xludf.DUMMYFUNCTION("IMPORTRANGE(""https://docs.google.com/spreadsheets/d/1XL5vhW3sbDhbH9Cz0tuDiY8C3ctxq1tqvaCgkFb8cCA/edit?usp=sharing"",""ศรีสะเกษ!J328"")"),0)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IFERROR(__xludf.DUMMYFUNCTION("IMPORTRANGE(""https://docs.google.com/spreadsheets/d/1XL5vhW3sbDhbH9Cz0tuDiY8C3ctxq1tqvaCgkFb8cCA/edit?usp=sharing"",""ศรีสะเกษ!M330"")"),32120)</f>
        <v>32120</v>
      </c>
      <c r="O435" s="412">
        <f t="shared" ref="O435:O439" ca="1" si="114">+IF(L435&gt;0,N435*100/L435,0)</f>
        <v>24.150375939849624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IFERROR(__xludf.DUMMYFUNCTION("IMPORTRANGE(""https://docs.google.com/spreadsheets/d/1XL5vhW3sbDhbH9Cz0tuDiY8C3ctxq1tqvaCgkFb8cCA/edit?usp=sharing"",""ศรีสะเกษ!L331"")"),0)</f>
        <v>0</v>
      </c>
      <c r="M436" s="166"/>
      <c r="N436" s="170">
        <f ca="1">IFERROR(__xludf.DUMMYFUNCTION("IMPORTRANGE(""https://docs.google.com/spreadsheets/d/1XL5vhW3sbDhbH9Cz0tuDiY8C3ctxq1tqvaCgkFb8cCA/edit?usp=sharing"",""ศรีสะเกษ!M331"")"),0)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IFERROR(__xludf.DUMMYFUNCTION("IMPORTRANGE(""https://docs.google.com/spreadsheets/d/1XL5vhW3sbDhbH9Cz0tuDiY8C3ctxq1tqvaCgkFb8cCA/edit?usp=sharing"",""ศรีสะเกษ!L332"")"),133000)</f>
        <v>133000</v>
      </c>
      <c r="M437" s="167"/>
      <c r="N437" s="170">
        <f ca="1">IFERROR(__xludf.DUMMYFUNCTION("IMPORTRANGE(""https://docs.google.com/spreadsheets/d/1XL5vhW3sbDhbH9Cz0tuDiY8C3ctxq1tqvaCgkFb8cCA/edit?usp=sharing"",""ศรีสะเกษ!M332"")"),32120)</f>
        <v>32120</v>
      </c>
      <c r="O437" s="170">
        <f t="shared" ca="1" si="114"/>
        <v>24.150375939849624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IFERROR(__xludf.DUMMYFUNCTION("IMPORTRANGE(""https://docs.google.com/spreadsheets/d/1XL5vhW3sbDhbH9Cz0tuDiY8C3ctxq1tqvaCgkFb8cCA/edit?usp=sharing"",""ศรีสะเกษ!L333"")"),0)</f>
        <v>0</v>
      </c>
      <c r="M438" s="170"/>
      <c r="N438" s="170">
        <f ca="1">IFERROR(__xludf.DUMMYFUNCTION("IMPORTRANGE(""https://docs.google.com/spreadsheets/d/1XL5vhW3sbDhbH9Cz0tuDiY8C3ctxq1tqvaCgkFb8cCA/edit?usp=sharing"",""ศรีสะเกษ!M333"")"),0)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IFERROR(__xludf.DUMMYFUNCTION("IMPORTRANGE(""https://docs.google.com/spreadsheets/d/1XL5vhW3sbDhbH9Cz0tuDiY8C3ctxq1tqvaCgkFb8cCA/edit?usp=sharing"",""ศรีสะเกษ!L334"")"),133000)</f>
        <v>133000</v>
      </c>
      <c r="M439" s="170"/>
      <c r="N439" s="170">
        <f ca="1">IFERROR(__xludf.DUMMYFUNCTION("IMPORTRANGE(""https://docs.google.com/spreadsheets/d/1XL5vhW3sbDhbH9Cz0tuDiY8C3ctxq1tqvaCgkFb8cCA/edit?usp=sharing"",""ศรีสะเกษ!M334"")"),32120)</f>
        <v>32120</v>
      </c>
      <c r="O439" s="170">
        <f t="shared" ca="1" si="114"/>
        <v>24.150375939849624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IFERROR(__xludf.DUMMYFUNCTION("IMPORTRANGE(""https://docs.google.com/spreadsheets/d/1XL5vhW3sbDhbH9Cz0tuDiY8C3ctxq1tqvaCgkFb8cCA/edit?usp=sharing"",""ศรีสะเกษ!M335"")"),32120)</f>
        <v>32120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IFERROR(__xludf.DUMMYFUNCTION("IMPORTRANGE(""https://docs.google.com/spreadsheets/d/1XL5vhW3sbDhbH9Cz0tuDiY8C3ctxq1tqvaCgkFb8cCA/edit?usp=sharing"",""ศรีสะเกษ!M338"")"),0)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IFERROR(__xludf.DUMMYFUNCTION("IMPORTRANGE(""https://docs.google.com/spreadsheets/d/1XL5vhW3sbDhbH9Cz0tuDiY8C3ctxq1tqvaCgkFb8cCA/edit?usp=sharing"",""ศรีสะเกษ!J341"")"),1)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IFERROR(__xludf.DUMMYFUNCTION("IMPORTRANGE(""https://docs.google.com/spreadsheets/d/1XL5vhW3sbDhbH9Cz0tuDiY8C3ctxq1tqvaCgkFb8cCA/edit?usp=sharing"",""ศรีสะเกษ!J342"")"),1)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IFERROR(__xludf.DUMMYFUNCTION("IMPORTRANGE(""https://docs.google.com/spreadsheets/d/1XL5vhW3sbDhbH9Cz0tuDiY8C3ctxq1tqvaCgkFb8cCA/edit?usp=sharing"",""ศรีสะเกษ!J343"")"),1)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2">
        <f ca="1">IFERROR(__xludf.DUMMYFUNCTION("IMPORTRANGE(""https://docs.google.com/spreadsheets/d/1XL5vhW3sbDhbH9Cz0tuDiY8C3ctxq1tqvaCgkFb8cCA/edit?usp=sharing"",""ศรีสะเกษ!J344"")"),0)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IFERROR(__xludf.DUMMYFUNCTION("IMPORTRANGE(""https://docs.google.com/spreadsheets/d/1XL5vhW3sbDhbH9Cz0tuDiY8C3ctxq1tqvaCgkFb8cCA/edit?usp=sharing"",""ศรีสะเกษ!I345"")"),35)</f>
        <v>35</v>
      </c>
      <c r="J450" s="190">
        <f ca="1">IFERROR(__xludf.DUMMYFUNCTION("IMPORTRANGE(""https://docs.google.com/spreadsheets/d/1XL5vhW3sbDhbH9Cz0tuDiY8C3ctxq1tqvaCgkFb8cCA/edit?usp=sharing"",""ศรีสะเกษ!J345"")"),0)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IFERROR(__xludf.DUMMYFUNCTION("IMPORTRANGE(""https://docs.google.com/spreadsheets/d/1XL5vhW3sbDhbH9Cz0tuDiY8C3ctxq1tqvaCgkFb8cCA/edit?usp=sharing"",""ศรีสะเกษ!I346"")"),0)</f>
        <v>0</v>
      </c>
      <c r="J451" s="189">
        <f ca="1">IFERROR(__xludf.DUMMYFUNCTION("IMPORTRANGE(""https://docs.google.com/spreadsheets/d/1XL5vhW3sbDhbH9Cz0tuDiY8C3ctxq1tqvaCgkFb8cCA/edit?usp=sharing"",""ศรีสะเกษ!J346"")"),0)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IFERROR(__xludf.DUMMYFUNCTION("IMPORTRANGE(""https://docs.google.com/spreadsheets/d/1XL5vhW3sbDhbH9Cz0tuDiY8C3ctxq1tqvaCgkFb8cCA/edit?usp=sharing"",""ศรีสะเกษ!I347"")"),0)</f>
        <v>0</v>
      </c>
      <c r="J452" s="189">
        <f ca="1">IFERROR(__xludf.DUMMYFUNCTION("IMPORTRANGE(""https://docs.google.com/spreadsheets/d/1XL5vhW3sbDhbH9Cz0tuDiY8C3ctxq1tqvaCgkFb8cCA/edit?usp=sharing"",""ศรีสะเกษ!J347"")"),0)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IFERROR(__xludf.DUMMYFUNCTION("IMPORTRANGE(""https://docs.google.com/spreadsheets/d/1XL5vhW3sbDhbH9Cz0tuDiY8C3ctxq1tqvaCgkFb8cCA/edit?usp=sharing"",""ศรีสะเกษ!J348"")"),0)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IFERROR(__xludf.DUMMYFUNCTION("IMPORTRANGE(""https://docs.google.com/spreadsheets/d/1XL5vhW3sbDhbH9Cz0tuDiY8C3ctxq1tqvaCgkFb8cCA/edit?usp=sharing"",""ศรีสะเกษ!J349"")"),0)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IFERROR(__xludf.DUMMYFUNCTION("IMPORTRANGE(""https://docs.google.com/spreadsheets/d/1XL5vhW3sbDhbH9Cz0tuDiY8C3ctxq1tqvaCgkFb8cCA/edit?usp=sharing"",""ศรีสะเกษ!L350"")"),853421)</f>
        <v>853421</v>
      </c>
      <c r="M455" s="373"/>
      <c r="N455" s="373">
        <f ca="1">IFERROR(__xludf.DUMMYFUNCTION("IMPORTRANGE(""https://docs.google.com/spreadsheets/d/1XL5vhW3sbDhbH9Cz0tuDiY8C3ctxq1tqvaCgkFb8cCA/edit?usp=sharing"",""ศรีสะเกษ!M350"")"),18451.64)</f>
        <v>18451.64</v>
      </c>
      <c r="O455" s="373">
        <f t="shared" ref="O455:O459" ca="1" si="116">+IF(L455&gt;0,N455*100/L455,0)</f>
        <v>2.162079442619762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IFERROR(__xludf.DUMMYFUNCTION("IMPORTRANGE(""https://docs.google.com/spreadsheets/d/1XL5vhW3sbDhbH9Cz0tuDiY8C3ctxq1tqvaCgkFb8cCA/edit?usp=sharing"",""ศรีสะเกษ!L351"")"),0)</f>
        <v>0</v>
      </c>
      <c r="M456" s="166"/>
      <c r="N456" s="170">
        <f ca="1">IFERROR(__xludf.DUMMYFUNCTION("IMPORTRANGE(""https://docs.google.com/spreadsheets/d/1XL5vhW3sbDhbH9Cz0tuDiY8C3ctxq1tqvaCgkFb8cCA/edit?usp=sharing"",""ศรีสะเกษ!M351"")"),0)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IFERROR(__xludf.DUMMYFUNCTION("IMPORTRANGE(""https://docs.google.com/spreadsheets/d/1XL5vhW3sbDhbH9Cz0tuDiY8C3ctxq1tqvaCgkFb8cCA/edit?usp=sharing"",""ศรีสะเกษ!L352"")"),853421)</f>
        <v>853421</v>
      </c>
      <c r="M457" s="167"/>
      <c r="N457" s="170">
        <f ca="1">IFERROR(__xludf.DUMMYFUNCTION("IMPORTRANGE(""https://docs.google.com/spreadsheets/d/1XL5vhW3sbDhbH9Cz0tuDiY8C3ctxq1tqvaCgkFb8cCA/edit?usp=sharing"",""ศรีสะเกษ!M352"")"),18451.64)</f>
        <v>18451.64</v>
      </c>
      <c r="O457" s="170">
        <f t="shared" ca="1" si="116"/>
        <v>2.162079442619762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IFERROR(__xludf.DUMMYFUNCTION("IMPORTRANGE(""https://docs.google.com/spreadsheets/d/1XL5vhW3sbDhbH9Cz0tuDiY8C3ctxq1tqvaCgkFb8cCA/edit?usp=sharing"",""ศรีสะเกษ!L353"")"),0)</f>
        <v>0</v>
      </c>
      <c r="M458" s="170"/>
      <c r="N458" s="170">
        <f ca="1">IFERROR(__xludf.DUMMYFUNCTION("IMPORTRANGE(""https://docs.google.com/spreadsheets/d/1XL5vhW3sbDhbH9Cz0tuDiY8C3ctxq1tqvaCgkFb8cCA/edit?usp=sharing"",""ศรีสะเกษ!M353"")"),0)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IFERROR(__xludf.DUMMYFUNCTION("IMPORTRANGE(""https://docs.google.com/spreadsheets/d/1XL5vhW3sbDhbH9Cz0tuDiY8C3ctxq1tqvaCgkFb8cCA/edit?usp=sharing"",""ศรีสะเกษ!L354"")"),853421)</f>
        <v>853421</v>
      </c>
      <c r="M459" s="170"/>
      <c r="N459" s="170">
        <f ca="1">IFERROR(__xludf.DUMMYFUNCTION("IMPORTRANGE(""https://docs.google.com/spreadsheets/d/1XL5vhW3sbDhbH9Cz0tuDiY8C3ctxq1tqvaCgkFb8cCA/edit?usp=sharing"",""ศรีสะเกษ!M354"")"),18451.64)</f>
        <v>18451.64</v>
      </c>
      <c r="O459" s="170">
        <f t="shared" ca="1" si="116"/>
        <v>2.162079442619762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IFERROR(__xludf.DUMMYFUNCTION("IMPORTRANGE(""https://docs.google.com/spreadsheets/d/1XL5vhW3sbDhbH9Cz0tuDiY8C3ctxq1tqvaCgkFb8cCA/edit?usp=sharing"",""ศรีสะเกษ!M355"")"),0)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IFERROR(__xludf.DUMMYFUNCTION("IMPORTRANGE(""https://docs.google.com/spreadsheets/d/1XL5vhW3sbDhbH9Cz0tuDiY8C3ctxq1tqvaCgkFb8cCA/edit?usp=sharing"",""ศรีสะเกษ!M356"")"),0)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IFERROR(__xludf.DUMMYFUNCTION("IMPORTRANGE(""https://docs.google.com/spreadsheets/d/1XL5vhW3sbDhbH9Cz0tuDiY8C3ctxq1tqvaCgkFb8cCA/edit?usp=sharing"",""ศรีสะเกษ!M357"")"),18451.64)</f>
        <v>18451.64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IFERROR(__xludf.DUMMYFUNCTION("IMPORTRANGE(""https://docs.google.com/spreadsheets/d/1XL5vhW3sbDhbH9Cz0tuDiY8C3ctxq1tqvaCgkFb8cCA/edit?usp=sharing"",""ศรีสะเกษ!M358"")"),0)</f>
        <v>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IFERROR(__xludf.DUMMYFUNCTION("IMPORTRANGE(""https://docs.google.com/spreadsheets/d/1XL5vhW3sbDhbH9Cz0tuDiY8C3ctxq1tqvaCgkFb8cCA/edit?usp=sharing"",""ศรีสะเกษ!J360"")"),2259)</f>
        <v>2259</v>
      </c>
      <c r="K465" s="203">
        <f t="shared" ca="1" si="117"/>
        <v>4.3911826452064382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IFERROR(__xludf.DUMMYFUNCTION("IMPORTRANGE(""https://docs.google.com/spreadsheets/d/1XL5vhW3sbDhbH9Cz0tuDiY8C3ctxq1tqvaCgkFb8cCA/edit?usp=sharing"",""ศรีสะเกษ!J361"")"),629)</f>
        <v>629</v>
      </c>
      <c r="K466" s="203">
        <f t="shared" ca="1" si="117"/>
        <v>5.6493623136339144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IFERROR(__xludf.DUMMYFUNCTION("IMPORTRANGE(""https://docs.google.com/spreadsheets/d/1XL5vhW3sbDhbH9Cz0tuDiY8C3ctxq1tqvaCgkFb8cCA/edit?usp=sharing"",""ศรีสะเกษ!I362"")"),0)</f>
        <v>0</v>
      </c>
      <c r="J467" s="190">
        <f ca="1">IFERROR(__xludf.DUMMYFUNCTION("IMPORTRANGE(""https://docs.google.com/spreadsheets/d/1XL5vhW3sbDhbH9Cz0tuDiY8C3ctxq1tqvaCgkFb8cCA/edit?usp=sharing"",""ศรีสะเกษ!J362"")"),2027)</f>
        <v>2027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IFERROR(__xludf.DUMMYFUNCTION("IMPORTRANGE(""https://docs.google.com/spreadsheets/d/1XL5vhW3sbDhbH9Cz0tuDiY8C3ctxq1tqvaCgkFb8cCA/edit?usp=sharing"",""ศรีสะเกษ!I363"")"),0)</f>
        <v>0</v>
      </c>
      <c r="J468" s="190">
        <f ca="1">IFERROR(__xludf.DUMMYFUNCTION("IMPORTRANGE(""https://docs.google.com/spreadsheets/d/1XL5vhW3sbDhbH9Cz0tuDiY8C3ctxq1tqvaCgkFb8cCA/edit?usp=sharing"",""ศรีสะเกษ!J363"")"),525)</f>
        <v>525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IFERROR(__xludf.DUMMYFUNCTION("IMPORTRANGE(""https://docs.google.com/spreadsheets/d/1XL5vhW3sbDhbH9Cz0tuDiY8C3ctxq1tqvaCgkFb8cCA/edit?usp=sharing"",""ศรีสะเกษ!I364"")"),0)</f>
        <v>0</v>
      </c>
      <c r="J469" s="190">
        <f ca="1">IFERROR(__xludf.DUMMYFUNCTION("IMPORTRANGE(""https://docs.google.com/spreadsheets/d/1XL5vhW3sbDhbH9Cz0tuDiY8C3ctxq1tqvaCgkFb8cCA/edit?usp=sharing"",""ศรีสะเกษ!J364"")"),219)</f>
        <v>219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IFERROR(__xludf.DUMMYFUNCTION("IMPORTRANGE(""https://docs.google.com/spreadsheets/d/1XL5vhW3sbDhbH9Cz0tuDiY8C3ctxq1tqvaCgkFb8cCA/edit?usp=sharing"",""ศรีสะเกษ!I365"")"),0)</f>
        <v>0</v>
      </c>
      <c r="J470" s="190">
        <f ca="1">IFERROR(__xludf.DUMMYFUNCTION("IMPORTRANGE(""https://docs.google.com/spreadsheets/d/1XL5vhW3sbDhbH9Cz0tuDiY8C3ctxq1tqvaCgkFb8cCA/edit?usp=sharing"",""ศรีสะเกษ!J365"")"),38)</f>
        <v>38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IFERROR(__xludf.DUMMYFUNCTION("IMPORTRANGE(""https://docs.google.com/spreadsheets/d/1XL5vhW3sbDhbH9Cz0tuDiY8C3ctxq1tqvaCgkFb8cCA/edit?usp=sharing"",""ศรีสะเกษ!I366"")"),0)</f>
        <v>0</v>
      </c>
      <c r="J471" s="190">
        <f ca="1">IFERROR(__xludf.DUMMYFUNCTION("IMPORTRANGE(""https://docs.google.com/spreadsheets/d/1XL5vhW3sbDhbH9Cz0tuDiY8C3ctxq1tqvaCgkFb8cCA/edit?usp=sharing"",""ศรีสะเกษ!J366"")"),13)</f>
        <v>13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IFERROR(__xludf.DUMMYFUNCTION("IMPORTRANGE(""https://docs.google.com/spreadsheets/d/1XL5vhW3sbDhbH9Cz0tuDiY8C3ctxq1tqvaCgkFb8cCA/edit?usp=sharing"",""ศรีสะเกษ!I367"")"),0)</f>
        <v>0</v>
      </c>
      <c r="J472" s="190">
        <f ca="1">IFERROR(__xludf.DUMMYFUNCTION("IMPORTRANGE(""https://docs.google.com/spreadsheets/d/1XL5vhW3sbDhbH9Cz0tuDiY8C3ctxq1tqvaCgkFb8cCA/edit?usp=sharing"",""ศรีสะเกษ!J367"")"),66)</f>
        <v>66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IFERROR(__xludf.DUMMYFUNCTION("IMPORTRANGE(""https://docs.google.com/spreadsheets/d/1XL5vhW3sbDhbH9Cz0tuDiY8C3ctxq1tqvaCgkFb8cCA/edit?usp=sharing"",""ศรีสะเกษ!I370"")"),0)</f>
        <v>0</v>
      </c>
      <c r="J475" s="190">
        <f ca="1">IFERROR(__xludf.DUMMYFUNCTION("IMPORTRANGE(""https://docs.google.com/spreadsheets/d/1XL5vhW3sbDhbH9Cz0tuDiY8C3ctxq1tqvaCgkFb8cCA/edit?usp=sharing"",""ศรีสะเกษ!J370"")"),0)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IFERROR(__xludf.DUMMYFUNCTION("IMPORTRANGE(""https://docs.google.com/spreadsheets/d/1XL5vhW3sbDhbH9Cz0tuDiY8C3ctxq1tqvaCgkFb8cCA/edit?usp=sharing"",""ศรีสะเกษ!I371"")"),0)</f>
        <v>0</v>
      </c>
      <c r="J476" s="190">
        <f ca="1">IFERROR(__xludf.DUMMYFUNCTION("IMPORTRANGE(""https://docs.google.com/spreadsheets/d/1XL5vhW3sbDhbH9Cz0tuDiY8C3ctxq1tqvaCgkFb8cCA/edit?usp=sharing"",""ศรีสะเกษ!J371"")"),0)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IFERROR(__xludf.DUMMYFUNCTION("IMPORTRANGE(""https://docs.google.com/spreadsheets/d/1XL5vhW3sbDhbH9Cz0tuDiY8C3ctxq1tqvaCgkFb8cCA/edit?usp=sharing"",""ศรีสะเกษ!I372"")"),0)</f>
        <v>0</v>
      </c>
      <c r="J477" s="190">
        <f ca="1">IFERROR(__xludf.DUMMYFUNCTION("IMPORTRANGE(""https://docs.google.com/spreadsheets/d/1XL5vhW3sbDhbH9Cz0tuDiY8C3ctxq1tqvaCgkFb8cCA/edit?usp=sharing"",""ศรีสะเกษ!J372"")"),0)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IFERROR(__xludf.DUMMYFUNCTION("IMPORTRANGE(""https://docs.google.com/spreadsheets/d/1XL5vhW3sbDhbH9Cz0tuDiY8C3ctxq1tqvaCgkFb8cCA/edit?usp=sharing"",""ศรีสะเกษ!I373"")"),0)</f>
        <v>0</v>
      </c>
      <c r="J478" s="190">
        <f ca="1">IFERROR(__xludf.DUMMYFUNCTION("IMPORTRANGE(""https://docs.google.com/spreadsheets/d/1XL5vhW3sbDhbH9Cz0tuDiY8C3ctxq1tqvaCgkFb8cCA/edit?usp=sharing"",""ศรีสะเกษ!J373"")"),0)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IFERROR(__xludf.DUMMYFUNCTION("IMPORTRANGE(""https://docs.google.com/spreadsheets/d/1XL5vhW3sbDhbH9Cz0tuDiY8C3ctxq1tqvaCgkFb8cCA/edit?usp=sharing"",""ศรีสะเกษ!I374"")"),0)</f>
        <v>0</v>
      </c>
      <c r="J479" s="190">
        <f ca="1">IFERROR(__xludf.DUMMYFUNCTION("IMPORTRANGE(""https://docs.google.com/spreadsheets/d/1XL5vhW3sbDhbH9Cz0tuDiY8C3ctxq1tqvaCgkFb8cCA/edit?usp=sharing"",""ศรีสะเกษ!J374"")"),0)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IFERROR(__xludf.DUMMYFUNCTION("IMPORTRANGE(""https://docs.google.com/spreadsheets/d/1XL5vhW3sbDhbH9Cz0tuDiY8C3ctxq1tqvaCgkFb8cCA/edit?usp=sharing"",""ศรีสะเกษ!I375"")"),0)</f>
        <v>0</v>
      </c>
      <c r="J480" s="190">
        <f ca="1">IFERROR(__xludf.DUMMYFUNCTION("IMPORTRANGE(""https://docs.google.com/spreadsheets/d/1XL5vhW3sbDhbH9Cz0tuDiY8C3ctxq1tqvaCgkFb8cCA/edit?usp=sharing"",""ศรีสะเกษ!J375"")"),0)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IFERROR(__xludf.DUMMYFUNCTION("IMPORTRANGE(""https://docs.google.com/spreadsheets/d/1XL5vhW3sbDhbH9Cz0tuDiY8C3ctxq1tqvaCgkFb8cCA/edit?usp=sharing"",""ศรีสะเกษ!I378"")"),0)</f>
        <v>0</v>
      </c>
      <c r="J483" s="190">
        <f ca="1">IFERROR(__xludf.DUMMYFUNCTION("IMPORTRANGE(""https://docs.google.com/spreadsheets/d/1XL5vhW3sbDhbH9Cz0tuDiY8C3ctxq1tqvaCgkFb8cCA/edit?usp=sharing"",""ศรีสะเกษ!J378"")"),0)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IFERROR(__xludf.DUMMYFUNCTION("IMPORTRANGE(""https://docs.google.com/spreadsheets/d/1XL5vhW3sbDhbH9Cz0tuDiY8C3ctxq1tqvaCgkFb8cCA/edit?usp=sharing"",""ศรีสะเกษ!I379"")"),0)</f>
        <v>0</v>
      </c>
      <c r="J484" s="190">
        <f ca="1">IFERROR(__xludf.DUMMYFUNCTION("IMPORTRANGE(""https://docs.google.com/spreadsheets/d/1XL5vhW3sbDhbH9Cz0tuDiY8C3ctxq1tqvaCgkFb8cCA/edit?usp=sharing"",""ศรีสะเกษ!J379"")"),0)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IFERROR(__xludf.DUMMYFUNCTION("IMPORTRANGE(""https://docs.google.com/spreadsheets/d/1XL5vhW3sbDhbH9Cz0tuDiY8C3ctxq1tqvaCgkFb8cCA/edit?usp=sharing"",""ศรีสะเกษ!I380"")"),0)</f>
        <v>0</v>
      </c>
      <c r="J485" s="190">
        <f ca="1">IFERROR(__xludf.DUMMYFUNCTION("IMPORTRANGE(""https://docs.google.com/spreadsheets/d/1XL5vhW3sbDhbH9Cz0tuDiY8C3ctxq1tqvaCgkFb8cCA/edit?usp=sharing"",""ศรีสะเกษ!J380"")"),0)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IFERROR(__xludf.DUMMYFUNCTION("IMPORTRANGE(""https://docs.google.com/spreadsheets/d/1XL5vhW3sbDhbH9Cz0tuDiY8C3ctxq1tqvaCgkFb8cCA/edit?usp=sharing"",""ศรีสะเกษ!I381"")"),0)</f>
        <v>0</v>
      </c>
      <c r="J486" s="190">
        <f ca="1">IFERROR(__xludf.DUMMYFUNCTION("IMPORTRANGE(""https://docs.google.com/spreadsheets/d/1XL5vhW3sbDhbH9Cz0tuDiY8C3ctxq1tqvaCgkFb8cCA/edit?usp=sharing"",""ศรีสะเกษ!J381"")"),0)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IFERROR(__xludf.DUMMYFUNCTION("IMPORTRANGE(""https://docs.google.com/spreadsheets/d/1XL5vhW3sbDhbH9Cz0tuDiY8C3ctxq1tqvaCgkFb8cCA/edit?usp=sharing"",""ศรีสะเกษ!I384"")"),0)</f>
        <v>0</v>
      </c>
      <c r="J489" s="190">
        <f ca="1">IFERROR(__xludf.DUMMYFUNCTION("IMPORTRANGE(""https://docs.google.com/spreadsheets/d/1XL5vhW3sbDhbH9Cz0tuDiY8C3ctxq1tqvaCgkFb8cCA/edit?usp=sharing"",""ศรีสะเกษ!J384"")"),0)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IFERROR(__xludf.DUMMYFUNCTION("IMPORTRANGE(""https://docs.google.com/spreadsheets/d/1XL5vhW3sbDhbH9Cz0tuDiY8C3ctxq1tqvaCgkFb8cCA/edit?usp=sharing"",""ศรีสะเกษ!I385"")"),0)</f>
        <v>0</v>
      </c>
      <c r="J490" s="190">
        <f ca="1">IFERROR(__xludf.DUMMYFUNCTION("IMPORTRANGE(""https://docs.google.com/spreadsheets/d/1XL5vhW3sbDhbH9Cz0tuDiY8C3ctxq1tqvaCgkFb8cCA/edit?usp=sharing"",""ศรีสะเกษ!J385"")"),0)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IFERROR(__xludf.DUMMYFUNCTION("IMPORTRANGE(""https://docs.google.com/spreadsheets/d/1XL5vhW3sbDhbH9Cz0tuDiY8C3ctxq1tqvaCgkFb8cCA/edit?usp=sharing"",""ศรีสะเกษ!I386"")"),0)</f>
        <v>0</v>
      </c>
      <c r="J491" s="190">
        <f ca="1">IFERROR(__xludf.DUMMYFUNCTION("IMPORTRANGE(""https://docs.google.com/spreadsheets/d/1XL5vhW3sbDhbH9Cz0tuDiY8C3ctxq1tqvaCgkFb8cCA/edit?usp=sharing"",""ศรีสะเกษ!J386"")"),0)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IFERROR(__xludf.DUMMYFUNCTION("IMPORTRANGE(""https://docs.google.com/spreadsheets/d/1XL5vhW3sbDhbH9Cz0tuDiY8C3ctxq1tqvaCgkFb8cCA/edit?usp=sharing"",""ศรีสะเกษ!I387"")"),0)</f>
        <v>0</v>
      </c>
      <c r="J492" s="190">
        <f ca="1">IFERROR(__xludf.DUMMYFUNCTION("IMPORTRANGE(""https://docs.google.com/spreadsheets/d/1XL5vhW3sbDhbH9Cz0tuDiY8C3ctxq1tqvaCgkFb8cCA/edit?usp=sharing"",""ศรีสะเกษ!J387"")"),0)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IFERROR(__xludf.DUMMYFUNCTION("IMPORTRANGE(""https://docs.google.com/spreadsheets/d/1XL5vhW3sbDhbH9Cz0tuDiY8C3ctxq1tqvaCgkFb8cCA/edit?usp=sharing"",""ศรีสะเกษ!I388"")"),0)</f>
        <v>0</v>
      </c>
      <c r="J493" s="190">
        <f ca="1">IFERROR(__xludf.DUMMYFUNCTION("IMPORTRANGE(""https://docs.google.com/spreadsheets/d/1XL5vhW3sbDhbH9Cz0tuDiY8C3ctxq1tqvaCgkFb8cCA/edit?usp=sharing"",""ศรีสะเกษ!J388"")"),0)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IFERROR(__xludf.DUMMYFUNCTION("IMPORTRANGE(""https://docs.google.com/spreadsheets/d/1XL5vhW3sbDhbH9Cz0tuDiY8C3ctxq1tqvaCgkFb8cCA/edit?usp=sharing"",""ศรีสะเกษ!J392"")"),890)</f>
        <v>890</v>
      </c>
      <c r="K497" s="444">
        <f t="shared" ca="1" si="117"/>
        <v>26.74278846153846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IFERROR(__xludf.DUMMYFUNCTION("IMPORTRANGE(""https://docs.google.com/spreadsheets/d/1XL5vhW3sbDhbH9Cz0tuDiY8C3ctxq1tqvaCgkFb8cCA/edit?usp=sharing"",""ศรีสะเกษ!J393"")"),890)</f>
        <v>890</v>
      </c>
      <c r="K498" s="165">
        <f t="shared" ca="1" si="117"/>
        <v>26.74278846153846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IFERROR(__xludf.DUMMYFUNCTION("IMPORTRANGE(""https://docs.google.com/spreadsheets/d/1XL5vhW3sbDhbH9Cz0tuDiY8C3ctxq1tqvaCgkFb8cCA/edit?usp=sharing"",""ศรีสะเกษ!J394"")"),278)</f>
        <v>278</v>
      </c>
      <c r="K499" s="203">
        <f t="shared" ca="1" si="117"/>
        <v>38.292011019283748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IFERROR(__xludf.DUMMYFUNCTION("IMPORTRANGE(""https://docs.google.com/spreadsheets/d/1XL5vhW3sbDhbH9Cz0tuDiY8C3ctxq1tqvaCgkFb8cCA/edit?usp=sharing"",""ศรีสะเกษ!I395"")"),0)</f>
        <v>0</v>
      </c>
      <c r="J500" s="164">
        <f ca="1">IFERROR(__xludf.DUMMYFUNCTION("IMPORTRANGE(""https://docs.google.com/spreadsheets/d/1XL5vhW3sbDhbH9Cz0tuDiY8C3ctxq1tqvaCgkFb8cCA/edit?usp=sharing"",""ศรีสะเกษ!J395"")"),80)</f>
        <v>80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IFERROR(__xludf.DUMMYFUNCTION("IMPORTRANGE(""https://docs.google.com/spreadsheets/d/1XL5vhW3sbDhbH9Cz0tuDiY8C3ctxq1tqvaCgkFb8cCA/edit?usp=sharing"",""ศรีสะเกษ!I396"")"),0)</f>
        <v>0</v>
      </c>
      <c r="J501" s="164">
        <f ca="1">IFERROR(__xludf.DUMMYFUNCTION("IMPORTRANGE(""https://docs.google.com/spreadsheets/d/1XL5vhW3sbDhbH9Cz0tuDiY8C3ctxq1tqvaCgkFb8cCA/edit?usp=sharing"",""ศรีสะเกษ!J396"")"),29)</f>
        <v>29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IFERROR(__xludf.DUMMYFUNCTION("IMPORTRANGE(""https://docs.google.com/spreadsheets/d/1XL5vhW3sbDhbH9Cz0tuDiY8C3ctxq1tqvaCgkFb8cCA/edit?usp=sharing"",""ศรีสะเกษ!I397"")"),0)</f>
        <v>0</v>
      </c>
      <c r="J502" s="190">
        <f ca="1">IFERROR(__xludf.DUMMYFUNCTION("IMPORTRANGE(""https://docs.google.com/spreadsheets/d/1XL5vhW3sbDhbH9Cz0tuDiY8C3ctxq1tqvaCgkFb8cCA/edit?usp=sharing"",""ศรีสะเกษ!J397"")"),46)</f>
        <v>46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IFERROR(__xludf.DUMMYFUNCTION("IMPORTRANGE(""https://docs.google.com/spreadsheets/d/1XL5vhW3sbDhbH9Cz0tuDiY8C3ctxq1tqvaCgkFb8cCA/edit?usp=sharing"",""ศรีสะเกษ!I398"")"),0)</f>
        <v>0</v>
      </c>
      <c r="J503" s="199">
        <f ca="1">IFERROR(__xludf.DUMMYFUNCTION("IMPORTRANGE(""https://docs.google.com/spreadsheets/d/1XL5vhW3sbDhbH9Cz0tuDiY8C3ctxq1tqvaCgkFb8cCA/edit?usp=sharing"",""ศรีสะเกษ!J398"")"),18)</f>
        <v>18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IFERROR(__xludf.DUMMYFUNCTION("IMPORTRANGE(""https://docs.google.com/spreadsheets/d/1XL5vhW3sbDhbH9Cz0tuDiY8C3ctxq1tqvaCgkFb8cCA/edit?usp=sharing"",""ศรีสะเกษ!I399"")"),0)</f>
        <v>0</v>
      </c>
      <c r="J504" s="190">
        <f ca="1">IFERROR(__xludf.DUMMYFUNCTION("IMPORTRANGE(""https://docs.google.com/spreadsheets/d/1XL5vhW3sbDhbH9Cz0tuDiY8C3ctxq1tqvaCgkFb8cCA/edit?usp=sharing"",""ศรีสะเกษ!J399"")"),34)</f>
        <v>34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IFERROR(__xludf.DUMMYFUNCTION("IMPORTRANGE(""https://docs.google.com/spreadsheets/d/1XL5vhW3sbDhbH9Cz0tuDiY8C3ctxq1tqvaCgkFb8cCA/edit?usp=sharing"",""ศรีสะเกษ!I400"")"),0)</f>
        <v>0</v>
      </c>
      <c r="J505" s="199">
        <f ca="1">IFERROR(__xludf.DUMMYFUNCTION("IMPORTRANGE(""https://docs.google.com/spreadsheets/d/1XL5vhW3sbDhbH9Cz0tuDiY8C3ctxq1tqvaCgkFb8cCA/edit?usp=sharing"",""ศรีสะเกษ!J400"")"),11)</f>
        <v>11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IFERROR(__xludf.DUMMYFUNCTION("IMPORTRANGE(""https://docs.google.com/spreadsheets/d/1XL5vhW3sbDhbH9Cz0tuDiY8C3ctxq1tqvaCgkFb8cCA/edit?usp=sharing"",""ศรีสะเกษ!I401"")"),0)</f>
        <v>0</v>
      </c>
      <c r="J506" s="190">
        <f ca="1">IFERROR(__xludf.DUMMYFUNCTION("IMPORTRANGE(""https://docs.google.com/spreadsheets/d/1XL5vhW3sbDhbH9Cz0tuDiY8C3ctxq1tqvaCgkFb8cCA/edit?usp=sharing"",""ศรีสะเกษ!J401"")"),0)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IFERROR(__xludf.DUMMYFUNCTION("IMPORTRANGE(""https://docs.google.com/spreadsheets/d/1XL5vhW3sbDhbH9Cz0tuDiY8C3ctxq1tqvaCgkFb8cCA/edit?usp=sharing"",""ศรีสะเกษ!I402"")"),0)</f>
        <v>0</v>
      </c>
      <c r="J507" s="199">
        <f ca="1">IFERROR(__xludf.DUMMYFUNCTION("IMPORTRANGE(""https://docs.google.com/spreadsheets/d/1XL5vhW3sbDhbH9Cz0tuDiY8C3ctxq1tqvaCgkFb8cCA/edit?usp=sharing"",""ศรีสะเกษ!J402"")"),0)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IFERROR(__xludf.DUMMYFUNCTION("IMPORTRANGE(""https://docs.google.com/spreadsheets/d/1XL5vhW3sbDhbH9Cz0tuDiY8C3ctxq1tqvaCgkFb8cCA/edit?usp=sharing"",""ศรีสะเกษ!I403"")"),0)</f>
        <v>0</v>
      </c>
      <c r="J508" s="164">
        <f ca="1">IFERROR(__xludf.DUMMYFUNCTION("IMPORTRANGE(""https://docs.google.com/spreadsheets/d/1XL5vhW3sbDhbH9Cz0tuDiY8C3ctxq1tqvaCgkFb8cCA/edit?usp=sharing"",""ศรีสะเกษ!J403"")"),5)</f>
        <v>5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IFERROR(__xludf.DUMMYFUNCTION("IMPORTRANGE(""https://docs.google.com/spreadsheets/d/1XL5vhW3sbDhbH9Cz0tuDiY8C3ctxq1tqvaCgkFb8cCA/edit?usp=sharing"",""ศรีสะเกษ!I404"")"),0)</f>
        <v>0</v>
      </c>
      <c r="J509" s="164">
        <f ca="1">IFERROR(__xludf.DUMMYFUNCTION("IMPORTRANGE(""https://docs.google.com/spreadsheets/d/1XL5vhW3sbDhbH9Cz0tuDiY8C3ctxq1tqvaCgkFb8cCA/edit?usp=sharing"",""ศรีสะเกษ!J404"")"),2)</f>
        <v>2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IFERROR(__xludf.DUMMYFUNCTION("IMPORTRANGE(""https://docs.google.com/spreadsheets/d/1XL5vhW3sbDhbH9Cz0tuDiY8C3ctxq1tqvaCgkFb8cCA/edit?usp=sharing"",""ศรีสะเกษ!I405"")"),0)</f>
        <v>0</v>
      </c>
      <c r="J510" s="199">
        <f ca="1">IFERROR(__xludf.DUMMYFUNCTION("IMPORTRANGE(""https://docs.google.com/spreadsheets/d/1XL5vhW3sbDhbH9Cz0tuDiY8C3ctxq1tqvaCgkFb8cCA/edit?usp=sharing"",""ศรีสะเกษ!J405"")"),0)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IFERROR(__xludf.DUMMYFUNCTION("IMPORTRANGE(""https://docs.google.com/spreadsheets/d/1XL5vhW3sbDhbH9Cz0tuDiY8C3ctxq1tqvaCgkFb8cCA/edit?usp=sharing"",""ศรีสะเกษ!I406"")"),0)</f>
        <v>0</v>
      </c>
      <c r="J511" s="199">
        <f ca="1">IFERROR(__xludf.DUMMYFUNCTION("IMPORTRANGE(""https://docs.google.com/spreadsheets/d/1XL5vhW3sbDhbH9Cz0tuDiY8C3ctxq1tqvaCgkFb8cCA/edit?usp=sharing"",""ศรีสะเกษ!J406"")"),0)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IFERROR(__xludf.DUMMYFUNCTION("IMPORTRANGE(""https://docs.google.com/spreadsheets/d/1XL5vhW3sbDhbH9Cz0tuDiY8C3ctxq1tqvaCgkFb8cCA/edit?usp=sharing"",""ศรีสะเกษ!I407"")"),0)</f>
        <v>0</v>
      </c>
      <c r="J512" s="199">
        <f ca="1">IFERROR(__xludf.DUMMYFUNCTION("IMPORTRANGE(""https://docs.google.com/spreadsheets/d/1XL5vhW3sbDhbH9Cz0tuDiY8C3ctxq1tqvaCgkFb8cCA/edit?usp=sharing"",""ศรีสะเกษ!J407"")"),5)</f>
        <v>5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IFERROR(__xludf.DUMMYFUNCTION("IMPORTRANGE(""https://docs.google.com/spreadsheets/d/1XL5vhW3sbDhbH9Cz0tuDiY8C3ctxq1tqvaCgkFb8cCA/edit?usp=sharing"",""ศรีสะเกษ!I408"")"),0)</f>
        <v>0</v>
      </c>
      <c r="J513" s="199">
        <f ca="1">IFERROR(__xludf.DUMMYFUNCTION("IMPORTRANGE(""https://docs.google.com/spreadsheets/d/1XL5vhW3sbDhbH9Cz0tuDiY8C3ctxq1tqvaCgkFb8cCA/edit?usp=sharing"",""ศรีสะเกษ!J408"")"),2)</f>
        <v>2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IFERROR(__xludf.DUMMYFUNCTION("IMPORTRANGE(""https://docs.google.com/spreadsheets/d/1XL5vhW3sbDhbH9Cz0tuDiY8C3ctxq1tqvaCgkFb8cCA/edit?usp=sharing"",""ศรีสะเกษ!I409"")"),0)</f>
        <v>0</v>
      </c>
      <c r="J514" s="199">
        <f ca="1">IFERROR(__xludf.DUMMYFUNCTION("IMPORTRANGE(""https://docs.google.com/spreadsheets/d/1XL5vhW3sbDhbH9Cz0tuDiY8C3ctxq1tqvaCgkFb8cCA/edit?usp=sharing"",""ศรีสะเกษ!J409"")"),805)</f>
        <v>805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IFERROR(__xludf.DUMMYFUNCTION("IMPORTRANGE(""https://docs.google.com/spreadsheets/d/1XL5vhW3sbDhbH9Cz0tuDiY8C3ctxq1tqvaCgkFb8cCA/edit?usp=sharing"",""ศรีสะเกษ!I410"")"),0)</f>
        <v>0</v>
      </c>
      <c r="J515" s="199">
        <f ca="1">IFERROR(__xludf.DUMMYFUNCTION("IMPORTRANGE(""https://docs.google.com/spreadsheets/d/1XL5vhW3sbDhbH9Cz0tuDiY8C3ctxq1tqvaCgkFb8cCA/edit?usp=sharing"",""ศรีสะเกษ!J410"")"),247)</f>
        <v>247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IFERROR(__xludf.DUMMYFUNCTION("IMPORTRANGE(""https://docs.google.com/spreadsheets/d/1XL5vhW3sbDhbH9Cz0tuDiY8C3ctxq1tqvaCgkFb8cCA/edit?usp=sharing"",""ศรีสะเกษ!I412"")"),0)</f>
        <v>0</v>
      </c>
      <c r="J517" s="284">
        <f ca="1">IFERROR(__xludf.DUMMYFUNCTION("IMPORTRANGE(""https://docs.google.com/spreadsheets/d/1XL5vhW3sbDhbH9Cz0tuDiY8C3ctxq1tqvaCgkFb8cCA/edit?usp=sharing"",""ศรีสะเกษ!J412"")"),0)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IFERROR(__xludf.DUMMYFUNCTION("IMPORTRANGE(""https://docs.google.com/spreadsheets/d/1XL5vhW3sbDhbH9Cz0tuDiY8C3ctxq1tqvaCgkFb8cCA/edit?usp=sharing"",""ศรีสะเกษ!I413"")"),0)</f>
        <v>0</v>
      </c>
      <c r="J518" s="284">
        <f ca="1">IFERROR(__xludf.DUMMYFUNCTION("IMPORTRANGE(""https://docs.google.com/spreadsheets/d/1XL5vhW3sbDhbH9Cz0tuDiY8C3ctxq1tqvaCgkFb8cCA/edit?usp=sharing"",""ศรีสะเกษ!J413"")"),0)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IFERROR(__xludf.DUMMYFUNCTION("IMPORTRANGE(""https://docs.google.com/spreadsheets/d/1XL5vhW3sbDhbH9Cz0tuDiY8C3ctxq1tqvaCgkFb8cCA/edit?usp=sharing"",""ศรีสะเกษ!I414"")"),0)</f>
        <v>0</v>
      </c>
      <c r="J519" s="189">
        <f ca="1">IFERROR(__xludf.DUMMYFUNCTION("IMPORTRANGE(""https://docs.google.com/spreadsheets/d/1XL5vhW3sbDhbH9Cz0tuDiY8C3ctxq1tqvaCgkFb8cCA/edit?usp=sharing"",""ศรีสะเกษ!J414"")"),0)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IFERROR(__xludf.DUMMYFUNCTION("IMPORTRANGE(""https://docs.google.com/spreadsheets/d/1XL5vhW3sbDhbH9Cz0tuDiY8C3ctxq1tqvaCgkFb8cCA/edit?usp=sharing"",""ศรีสะเกษ!I415"")"),0)</f>
        <v>0</v>
      </c>
      <c r="J520" s="189">
        <f ca="1">IFERROR(__xludf.DUMMYFUNCTION("IMPORTRANGE(""https://docs.google.com/spreadsheets/d/1XL5vhW3sbDhbH9Cz0tuDiY8C3ctxq1tqvaCgkFb8cCA/edit?usp=sharing"",""ศรีสะเกษ!J415"")"),0)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IFERROR(__xludf.DUMMYFUNCTION("IMPORTRANGE(""https://docs.google.com/spreadsheets/d/1XL5vhW3sbDhbH9Cz0tuDiY8C3ctxq1tqvaCgkFb8cCA/edit?usp=sharing"",""ศรีสะเกษ!I416"")"),0)</f>
        <v>0</v>
      </c>
      <c r="J521" s="189">
        <f ca="1">IFERROR(__xludf.DUMMYFUNCTION("IMPORTRANGE(""https://docs.google.com/spreadsheets/d/1XL5vhW3sbDhbH9Cz0tuDiY8C3ctxq1tqvaCgkFb8cCA/edit?usp=sharing"",""ศรีสะเกษ!J416"")"),0)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IFERROR(__xludf.DUMMYFUNCTION("IMPORTRANGE(""https://docs.google.com/spreadsheets/d/1XL5vhW3sbDhbH9Cz0tuDiY8C3ctxq1tqvaCgkFb8cCA/edit?usp=sharing"",""ศรีสะเกษ!I417"")"),0)</f>
        <v>0</v>
      </c>
      <c r="J522" s="189">
        <f ca="1">IFERROR(__xludf.DUMMYFUNCTION("IMPORTRANGE(""https://docs.google.com/spreadsheets/d/1XL5vhW3sbDhbH9Cz0tuDiY8C3ctxq1tqvaCgkFb8cCA/edit?usp=sharing"",""ศรีสะเกษ!J417"")"),0)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IFERROR(__xludf.DUMMYFUNCTION("IMPORTRANGE(""https://docs.google.com/spreadsheets/d/1XL5vhW3sbDhbH9Cz0tuDiY8C3ctxq1tqvaCgkFb8cCA/edit?usp=sharing"",""ศรีสะเกษ!I418"")"),0)</f>
        <v>0</v>
      </c>
      <c r="J523" s="189">
        <f ca="1">IFERROR(__xludf.DUMMYFUNCTION("IMPORTRANGE(""https://docs.google.com/spreadsheets/d/1XL5vhW3sbDhbH9Cz0tuDiY8C3ctxq1tqvaCgkFb8cCA/edit?usp=sharing"",""ศรีสะเกษ!J418"")"),0)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IFERROR(__xludf.DUMMYFUNCTION("IMPORTRANGE(""https://docs.google.com/spreadsheets/d/1XL5vhW3sbDhbH9Cz0tuDiY8C3ctxq1tqvaCgkFb8cCA/edit?usp=sharing"",""ศรีสะเกษ!I419"")"),0)</f>
        <v>0</v>
      </c>
      <c r="J524" s="189">
        <f ca="1">IFERROR(__xludf.DUMMYFUNCTION("IMPORTRANGE(""https://docs.google.com/spreadsheets/d/1XL5vhW3sbDhbH9Cz0tuDiY8C3ctxq1tqvaCgkFb8cCA/edit?usp=sharing"",""ศรีสะเกษ!J419"")"),0)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IFERROR(__xludf.DUMMYFUNCTION("IMPORTRANGE(""https://docs.google.com/spreadsheets/d/1XL5vhW3sbDhbH9Cz0tuDiY8C3ctxq1tqvaCgkFb8cCA/edit?usp=sharing"",""ศรีสะเกษ!I420"")"),0)</f>
        <v>0</v>
      </c>
      <c r="J525" s="284">
        <f ca="1">IFERROR(__xludf.DUMMYFUNCTION("IMPORTRANGE(""https://docs.google.com/spreadsheets/d/1XL5vhW3sbDhbH9Cz0tuDiY8C3ctxq1tqvaCgkFb8cCA/edit?usp=sharing"",""ศรีสะเกษ!J420"")"),0)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IFERROR(__xludf.DUMMYFUNCTION("IMPORTRANGE(""https://docs.google.com/spreadsheets/d/1XL5vhW3sbDhbH9Cz0tuDiY8C3ctxq1tqvaCgkFb8cCA/edit?usp=sharing"",""ศรีสะเกษ!I421"")"),0)</f>
        <v>0</v>
      </c>
      <c r="J526" s="284">
        <f ca="1">IFERROR(__xludf.DUMMYFUNCTION("IMPORTRANGE(""https://docs.google.com/spreadsheets/d/1XL5vhW3sbDhbH9Cz0tuDiY8C3ctxq1tqvaCgkFb8cCA/edit?usp=sharing"",""ศรีสะเกษ!J421"")"),0)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IFERROR(__xludf.DUMMYFUNCTION("IMPORTRANGE(""https://docs.google.com/spreadsheets/d/1XL5vhW3sbDhbH9Cz0tuDiY8C3ctxq1tqvaCgkFb8cCA/edit?usp=sharing"",""ศรีสะเกษ!I422"")"),0)</f>
        <v>0</v>
      </c>
      <c r="J527" s="199">
        <f ca="1">IFERROR(__xludf.DUMMYFUNCTION("IMPORTRANGE(""https://docs.google.com/spreadsheets/d/1XL5vhW3sbDhbH9Cz0tuDiY8C3ctxq1tqvaCgkFb8cCA/edit?usp=sharing"",""ศรีสะเกษ!J422"")"),0)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IFERROR(__xludf.DUMMYFUNCTION("IMPORTRANGE(""https://docs.google.com/spreadsheets/d/1XL5vhW3sbDhbH9Cz0tuDiY8C3ctxq1tqvaCgkFb8cCA/edit?usp=sharing"",""ศรีสะเกษ!I423"")"),0)</f>
        <v>0</v>
      </c>
      <c r="J528" s="199">
        <f ca="1">IFERROR(__xludf.DUMMYFUNCTION("IMPORTRANGE(""https://docs.google.com/spreadsheets/d/1XL5vhW3sbDhbH9Cz0tuDiY8C3ctxq1tqvaCgkFb8cCA/edit?usp=sharing"",""ศรีสะเกษ!J423"")"),0)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IFERROR(__xludf.DUMMYFUNCTION("IMPORTRANGE(""https://docs.google.com/spreadsheets/d/1XL5vhW3sbDhbH9Cz0tuDiY8C3ctxq1tqvaCgkFb8cCA/edit?usp=sharing"",""ศรีสะเกษ!I424"")"),0)</f>
        <v>0</v>
      </c>
      <c r="J529" s="199">
        <f ca="1">IFERROR(__xludf.DUMMYFUNCTION("IMPORTRANGE(""https://docs.google.com/spreadsheets/d/1XL5vhW3sbDhbH9Cz0tuDiY8C3ctxq1tqvaCgkFb8cCA/edit?usp=sharing"",""ศรีสะเกษ!J424"")"),0)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IFERROR(__xludf.DUMMYFUNCTION("IMPORTRANGE(""https://docs.google.com/spreadsheets/d/1XL5vhW3sbDhbH9Cz0tuDiY8C3ctxq1tqvaCgkFb8cCA/edit?usp=sharing"",""ศรีสะเกษ!I425"")"),0)</f>
        <v>0</v>
      </c>
      <c r="J530" s="199">
        <f ca="1">IFERROR(__xludf.DUMMYFUNCTION("IMPORTRANGE(""https://docs.google.com/spreadsheets/d/1XL5vhW3sbDhbH9Cz0tuDiY8C3ctxq1tqvaCgkFb8cCA/edit?usp=sharing"",""ศรีสะเกษ!J425"")"),0)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IFERROR(__xludf.DUMMYFUNCTION("IMPORTRANGE(""https://docs.google.com/spreadsheets/d/1XL5vhW3sbDhbH9Cz0tuDiY8C3ctxq1tqvaCgkFb8cCA/edit?usp=sharing"",""ศรีสะเกษ!I426"")"),0)</f>
        <v>0</v>
      </c>
      <c r="J531" s="199">
        <f ca="1">IFERROR(__xludf.DUMMYFUNCTION("IMPORTRANGE(""https://docs.google.com/spreadsheets/d/1XL5vhW3sbDhbH9Cz0tuDiY8C3ctxq1tqvaCgkFb8cCA/edit?usp=sharing"",""ศรีสะเกษ!J426"")"),0)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IFERROR(__xludf.DUMMYFUNCTION("IMPORTRANGE(""https://docs.google.com/spreadsheets/d/1XL5vhW3sbDhbH9Cz0tuDiY8C3ctxq1tqvaCgkFb8cCA/edit?usp=sharing"",""ศรีสะเกษ!M428"")"),4120)</f>
        <v>4120</v>
      </c>
      <c r="O533" s="412">
        <f t="shared" ref="O533:O537" ca="1" si="118">+IF(L533&gt;0,N533*100/L533,0)</f>
        <v>12.622549019607844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IFERROR(__xludf.DUMMYFUNCTION("IMPORTRANGE(""https://docs.google.com/spreadsheets/d/1XL5vhW3sbDhbH9Cz0tuDiY8C3ctxq1tqvaCgkFb8cCA/edit?usp=sharing"",""ศรีสะเกษ!L429"")"),0)</f>
        <v>0</v>
      </c>
      <c r="M534" s="166"/>
      <c r="N534" s="170">
        <f ca="1">IFERROR(__xludf.DUMMYFUNCTION("IMPORTRANGE(""https://docs.google.com/spreadsheets/d/1XL5vhW3sbDhbH9Cz0tuDiY8C3ctxq1tqvaCgkFb8cCA/edit?usp=sharing"",""ศรีสะเกษ!M429"")"),0)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IFERROR(__xludf.DUMMYFUNCTION("IMPORTRANGE(""https://docs.google.com/spreadsheets/d/1XL5vhW3sbDhbH9Cz0tuDiY8C3ctxq1tqvaCgkFb8cCA/edit?usp=sharing"",""ศรีสะเกษ!L430"")"),32640)</f>
        <v>32640</v>
      </c>
      <c r="M535" s="167"/>
      <c r="N535" s="170">
        <f ca="1">IFERROR(__xludf.DUMMYFUNCTION("IMPORTRANGE(""https://docs.google.com/spreadsheets/d/1XL5vhW3sbDhbH9Cz0tuDiY8C3ctxq1tqvaCgkFb8cCA/edit?usp=sharing"",""ศรีสะเกษ!M430"")"),4120)</f>
        <v>4120</v>
      </c>
      <c r="O535" s="170">
        <f t="shared" ca="1" si="118"/>
        <v>12.622549019607844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IFERROR(__xludf.DUMMYFUNCTION("IMPORTRANGE(""https://docs.google.com/spreadsheets/d/1XL5vhW3sbDhbH9Cz0tuDiY8C3ctxq1tqvaCgkFb8cCA/edit?usp=sharing"",""ศรีสะเกษ!L431"")"),0)</f>
        <v>0</v>
      </c>
      <c r="M536" s="170"/>
      <c r="N536" s="170">
        <f ca="1">IFERROR(__xludf.DUMMYFUNCTION("IMPORTRANGE(""https://docs.google.com/spreadsheets/d/1XL5vhW3sbDhbH9Cz0tuDiY8C3ctxq1tqvaCgkFb8cCA/edit?usp=sharing"",""ศรีสะเกษ!M431"")"),0)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IFERROR(__xludf.DUMMYFUNCTION("IMPORTRANGE(""https://docs.google.com/spreadsheets/d/1XL5vhW3sbDhbH9Cz0tuDiY8C3ctxq1tqvaCgkFb8cCA/edit?usp=sharing"",""ศรีสะเกษ!L432"")"),32640)</f>
        <v>32640</v>
      </c>
      <c r="M537" s="170"/>
      <c r="N537" s="170">
        <f ca="1">IFERROR(__xludf.DUMMYFUNCTION("IMPORTRANGE(""https://docs.google.com/spreadsheets/d/1XL5vhW3sbDhbH9Cz0tuDiY8C3ctxq1tqvaCgkFb8cCA/edit?usp=sharing"",""ศรีสะเกษ!M432"")"),4120)</f>
        <v>4120</v>
      </c>
      <c r="O537" s="170">
        <f t="shared" ca="1" si="118"/>
        <v>12.622549019607844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IFERROR(__xludf.DUMMYFUNCTION("IMPORTRANGE(""https://docs.google.com/spreadsheets/d/1XL5vhW3sbDhbH9Cz0tuDiY8C3ctxq1tqvaCgkFb8cCA/edit?usp=sharing"",""ศรีสะเกษ!M433"")"),0)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IFERROR(__xludf.DUMMYFUNCTION("IMPORTRANGE(""https://docs.google.com/spreadsheets/d/1XL5vhW3sbDhbH9Cz0tuDiY8C3ctxq1tqvaCgkFb8cCA/edit?usp=sharing"",""ศรีสะเกษ!M434"")"),2400)</f>
        <v>2400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IFERROR(__xludf.DUMMYFUNCTION("IMPORTRANGE(""https://docs.google.com/spreadsheets/d/1XL5vhW3sbDhbH9Cz0tuDiY8C3ctxq1tqvaCgkFb8cCA/edit?usp=sharing"",""ศรีสะเกษ!M436"")"),1720)</f>
        <v>1720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IFERROR(__xludf.DUMMYFUNCTION("IMPORTRANGE(""https://docs.google.com/spreadsheets/d/1XL5vhW3sbDhbH9Cz0tuDiY8C3ctxq1tqvaCgkFb8cCA/edit?usp=sharing"",""ศรีสะเกษ!J438"")"),0)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IFERROR(__xludf.DUMMYFUNCTION("IMPORTRANGE(""https://docs.google.com/spreadsheets/d/1XL5vhW3sbDhbH9Cz0tuDiY8C3ctxq1tqvaCgkFb8cCA/edit?usp=sharing"",""ศรีสะเกษ!J439"")"),1)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IFERROR(__xludf.DUMMYFUNCTION("IMPORTRANGE(""https://docs.google.com/spreadsheets/d/1XL5vhW3sbDhbH9Cz0tuDiY8C3ctxq1tqvaCgkFb8cCA/edit?usp=sharing"",""ศรีสะเกษ!J440"")"),0)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IFERROR(__xludf.DUMMYFUNCTION("IMPORTRANGE(""https://docs.google.com/spreadsheets/d/1XL5vhW3sbDhbH9Cz0tuDiY8C3ctxq1tqvaCgkFb8cCA/edit?usp=sharing"",""ศรีสะเกษ!J441"")"),0)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IFERROR(__xludf.DUMMYFUNCTION("IMPORTRANGE(""https://docs.google.com/spreadsheets/d/1XL5vhW3sbDhbH9Cz0tuDiY8C3ctxq1tqvaCgkFb8cCA/edit?usp=sharing"",""ศรีสะเกษ!I442"")"),20)</f>
        <v>20</v>
      </c>
      <c r="J547" s="190">
        <f ca="1">IFERROR(__xludf.DUMMYFUNCTION("IMPORTRANGE(""https://docs.google.com/spreadsheets/d/1XL5vhW3sbDhbH9Cz0tuDiY8C3ctxq1tqvaCgkFb8cCA/edit?usp=sharing"",""ศรีสะเกษ!J442"")"),0)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IFERROR(__xludf.DUMMYFUNCTION("IMPORTRANGE(""https://docs.google.com/spreadsheets/d/1XL5vhW3sbDhbH9Cz0tuDiY8C3ctxq1tqvaCgkFb8cCA/edit?usp=sharing"",""ศรีสะเกษ!J166"")"),0)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IFERROR(__xludf.DUMMYFUNCTION("IMPORTRANGE(""https://docs.google.com/spreadsheets/d/1XL5vhW3sbDhbH9Cz0tuDiY8C3ctxq1tqvaCgkFb8cCA/edit?usp=sharing"",""ศรีสะเกษ!J444"")"),0)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IFERROR(__xludf.DUMMYFUNCTION("IMPORTRANGE(""https://docs.google.com/spreadsheets/d/1XL5vhW3sbDhbH9Cz0tuDiY8C3ctxq1tqvaCgkFb8cCA/edit?usp=sharing"",""ศรีสะเกษ!L447"")"),0)</f>
        <v>0</v>
      </c>
      <c r="M552" s="166"/>
      <c r="N552" s="170">
        <f ca="1">IFERROR(__xludf.DUMMYFUNCTION("IMPORTRANGE(""https://docs.google.com/spreadsheets/d/1XL5vhW3sbDhbH9Cz0tuDiY8C3ctxq1tqvaCgkFb8cCA/edit?usp=sharing"",""ศรีสะเกษ!M447"")"),0)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IFERROR(__xludf.DUMMYFUNCTION("IMPORTRANGE(""https://docs.google.com/spreadsheets/d/1XL5vhW3sbDhbH9Cz0tuDiY8C3ctxq1tqvaCgkFb8cCA/edit?usp=sharing"",""ศรีสะเกษ!L448"")"),0)</f>
        <v>0</v>
      </c>
      <c r="M553" s="167"/>
      <c r="N553" s="170">
        <f ca="1">IFERROR(__xludf.DUMMYFUNCTION("IMPORTRANGE(""https://docs.google.com/spreadsheets/d/1XL5vhW3sbDhbH9Cz0tuDiY8C3ctxq1tqvaCgkFb8cCA/edit?usp=sharing"",""ศรีสะเกษ!M448"")"),0)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IFERROR(__xludf.DUMMYFUNCTION("IMPORTRANGE(""https://docs.google.com/spreadsheets/d/1XL5vhW3sbDhbH9Cz0tuDiY8C3ctxq1tqvaCgkFb8cCA/edit?usp=sharing"",""ศรีสะเกษ!L449"")"),0)</f>
        <v>0</v>
      </c>
      <c r="M554" s="170"/>
      <c r="N554" s="170">
        <f ca="1">IFERROR(__xludf.DUMMYFUNCTION("IMPORTRANGE(""https://docs.google.com/spreadsheets/d/1XL5vhW3sbDhbH9Cz0tuDiY8C3ctxq1tqvaCgkFb8cCA/edit?usp=sharing"",""ศรีสะเกษ!M449"")"),0)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IFERROR(__xludf.DUMMYFUNCTION("IMPORTRANGE(""https://docs.google.com/spreadsheets/d/1XL5vhW3sbDhbH9Cz0tuDiY8C3ctxq1tqvaCgkFb8cCA/edit?usp=sharing"",""ศรีสะเกษ!L450"")"),0)</f>
        <v>0</v>
      </c>
      <c r="M555" s="170"/>
      <c r="N555" s="170">
        <f ca="1">IFERROR(__xludf.DUMMYFUNCTION("IMPORTRANGE(""https://docs.google.com/spreadsheets/d/1XL5vhW3sbDhbH9Cz0tuDiY8C3ctxq1tqvaCgkFb8cCA/edit?usp=sharing"",""ศรีสะเกษ!M450"")"),0)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IFERROR(__xludf.DUMMYFUNCTION("IMPORTRANGE(""https://docs.google.com/spreadsheets/d/1XL5vhW3sbDhbH9Cz0tuDiY8C3ctxq1tqvaCgkFb8cCA/edit?usp=sharing"",""ศรีสะเกษ!M451"")"),0)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IFERROR(__xludf.DUMMYFUNCTION("IMPORTRANGE(""https://docs.google.com/spreadsheets/d/1XL5vhW3sbDhbH9Cz0tuDiY8C3ctxq1tqvaCgkFb8cCA/edit?usp=sharing"",""ศรีสะเกษ!M452"")"),0)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IFERROR(__xludf.DUMMYFUNCTION("IMPORTRANGE(""https://docs.google.com/spreadsheets/d/1XL5vhW3sbDhbH9Cz0tuDiY8C3ctxq1tqvaCgkFb8cCA/edit?usp=sharing"",""ศรีสะเกษ!M453"")"),0)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IFERROR(__xludf.DUMMYFUNCTION("IMPORTRANGE(""https://docs.google.com/spreadsheets/d/1XL5vhW3sbDhbH9Cz0tuDiY8C3ctxq1tqvaCgkFb8cCA/edit?usp=sharing"",""ศรีสะเกษ!M454"")"),0)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IFERROR(__xludf.DUMMYFUNCTION("IMPORTRANGE(""https://docs.google.com/spreadsheets/d/1XL5vhW3sbDhbH9Cz0tuDiY8C3ctxq1tqvaCgkFb8cCA/edit?usp=sharing"",""ศรีสะเกษ!I455"")"),0)</f>
        <v>0</v>
      </c>
      <c r="J560" s="164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IFERROR(__xludf.DUMMYFUNCTION("IMPORTRANGE(""https://docs.google.com/spreadsheets/d/1XL5vhW3sbDhbH9Cz0tuDiY8C3ctxq1tqvaCgkFb8cCA/edit?usp=sharing"",""ศรีสะเกษ!I456"")"),0)</f>
        <v>0</v>
      </c>
      <c r="J561" s="205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IFERROR(__xludf.DUMMYFUNCTION("IMPORTRANGE(""https://docs.google.com/spreadsheets/d/1XL5vhW3sbDhbH9Cz0tuDiY8C3ctxq1tqvaCgkFb8cCA/edit?usp=sharing"",""ศรีสะเกษ!I457"")"),0)</f>
        <v>0</v>
      </c>
      <c r="J562" s="205" t="str">
        <f ca="1">IFERROR(__xludf.DUMMYFUNCTION("IMPORTRANGE(""https://docs.google.com/spreadsheets/d/1XL5vhW3sbDhbH9Cz0tuDiY8C3ctxq1tqvaCgkFb8cCA/edit?usp=sharing"",""ศรีสะเกษ!J457"")"),"")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IFERROR(__xludf.DUMMYFUNCTION("IMPORTRANGE(""https://docs.google.com/spreadsheets/d/1XL5vhW3sbDhbH9Cz0tuDiY8C3ctxq1tqvaCgkFb8cCA/edit?usp=sharing"",""ศรีสะเกษ!I458"")"),0)</f>
        <v>0</v>
      </c>
      <c r="J563" s="189" t="str">
        <f ca="1">IFERROR(__xludf.DUMMYFUNCTION("IMPORTRANGE(""https://docs.google.com/spreadsheets/d/1XL5vhW3sbDhbH9Cz0tuDiY8C3ctxq1tqvaCgkFb8cCA/edit?usp=sharing"",""ศรีสะเกษ!J458"")"),"")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IFERROR(__xludf.DUMMYFUNCTION("IMPORTRANGE(""https://docs.google.com/spreadsheets/d/1XL5vhW3sbDhbH9Cz0tuDiY8C3ctxq1tqvaCgkFb8cCA/edit?usp=sharing"",""ศรีสะเกษ!J459"")"),2869)</f>
        <v>2869</v>
      </c>
      <c r="K564" s="372">
        <f t="shared" ca="1" si="121"/>
        <v>43.469696969696969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IFERROR(__xludf.DUMMYFUNCTION("IMPORTRANGE(""https://docs.google.com/spreadsheets/d/1XL5vhW3sbDhbH9Cz0tuDiY8C3ctxq1tqvaCgkFb8cCA/edit?usp=sharing"",""ศรีสะเกษ!M459"")"),10673.41)</f>
        <v>10673.41</v>
      </c>
      <c r="O564" s="373">
        <f t="shared" ref="O564:O568" ca="1" si="122">+IF(L564&gt;0,N564*100/L564,0)</f>
        <v>5.4791632443531828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IFERROR(__xludf.DUMMYFUNCTION("IMPORTRANGE(""https://docs.google.com/spreadsheets/d/1XL5vhW3sbDhbH9Cz0tuDiY8C3ctxq1tqvaCgkFb8cCA/edit?usp=sharing"",""ศรีสะเกษ!L460"")"),0)</f>
        <v>0</v>
      </c>
      <c r="M565" s="166"/>
      <c r="N565" s="170">
        <f ca="1">IFERROR(__xludf.DUMMYFUNCTION("IMPORTRANGE(""https://docs.google.com/spreadsheets/d/1XL5vhW3sbDhbH9Cz0tuDiY8C3ctxq1tqvaCgkFb8cCA/edit?usp=sharing"",""ศรีสะเกษ!M460"")"),0)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IFERROR(__xludf.DUMMYFUNCTION("IMPORTRANGE(""https://docs.google.com/spreadsheets/d/1XL5vhW3sbDhbH9Cz0tuDiY8C3ctxq1tqvaCgkFb8cCA/edit?usp=sharing"",""ศรีสะเกษ!L461"")"),194800)</f>
        <v>194800</v>
      </c>
      <c r="M566" s="167"/>
      <c r="N566" s="170">
        <f ca="1">IFERROR(__xludf.DUMMYFUNCTION("IMPORTRANGE(""https://docs.google.com/spreadsheets/d/1XL5vhW3sbDhbH9Cz0tuDiY8C3ctxq1tqvaCgkFb8cCA/edit?usp=sharing"",""ศรีสะเกษ!M461"")"),10673.41)</f>
        <v>10673.41</v>
      </c>
      <c r="O566" s="170">
        <f t="shared" ca="1" si="122"/>
        <v>5.4791632443531828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IFERROR(__xludf.DUMMYFUNCTION("IMPORTRANGE(""https://docs.google.com/spreadsheets/d/1XL5vhW3sbDhbH9Cz0tuDiY8C3ctxq1tqvaCgkFb8cCA/edit?usp=sharing"",""ศรีสะเกษ!L462"")"),0)</f>
        <v>0</v>
      </c>
      <c r="M567" s="170"/>
      <c r="N567" s="170">
        <f ca="1">IFERROR(__xludf.DUMMYFUNCTION("IMPORTRANGE(""https://docs.google.com/spreadsheets/d/1XL5vhW3sbDhbH9Cz0tuDiY8C3ctxq1tqvaCgkFb8cCA/edit?usp=sharing"",""ศรีสะเกษ!M462"")"),0)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IFERROR(__xludf.DUMMYFUNCTION("IMPORTRANGE(""https://docs.google.com/spreadsheets/d/1XL5vhW3sbDhbH9Cz0tuDiY8C3ctxq1tqvaCgkFb8cCA/edit?usp=sharing"",""ศรีสะเกษ!L463"")"),194800)</f>
        <v>194800</v>
      </c>
      <c r="M568" s="170"/>
      <c r="N568" s="170">
        <f ca="1">IFERROR(__xludf.DUMMYFUNCTION("IMPORTRANGE(""https://docs.google.com/spreadsheets/d/1XL5vhW3sbDhbH9Cz0tuDiY8C3ctxq1tqvaCgkFb8cCA/edit?usp=sharing"",""ศรีสะเกษ!M463"")"),10673.41)</f>
        <v>10673.41</v>
      </c>
      <c r="O568" s="170">
        <f t="shared" ca="1" si="122"/>
        <v>5.4791632443531828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IFERROR(__xludf.DUMMYFUNCTION("IMPORTRANGE(""https://docs.google.com/spreadsheets/d/1XL5vhW3sbDhbH9Cz0tuDiY8C3ctxq1tqvaCgkFb8cCA/edit?usp=sharing"",""ศรีสะเกษ!M464"")"),0)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IFERROR(__xludf.DUMMYFUNCTION("IMPORTRANGE(""https://docs.google.com/spreadsheets/d/1XL5vhW3sbDhbH9Cz0tuDiY8C3ctxq1tqvaCgkFb8cCA/edit?usp=sharing"",""ศรีสะเกษ!M465"")"),0)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IFERROR(__xludf.DUMMYFUNCTION("IMPORTRANGE(""https://docs.google.com/spreadsheets/d/1XL5vhW3sbDhbH9Cz0tuDiY8C3ctxq1tqvaCgkFb8cCA/edit?usp=sharing"",""ศรีสะเกษ!M466"")"),8433.41)</f>
        <v>8433.41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IFERROR(__xludf.DUMMYFUNCTION("IMPORTRANGE(""https://docs.google.com/spreadsheets/d/1XL5vhW3sbDhbH9Cz0tuDiY8C3ctxq1tqvaCgkFb8cCA/edit?usp=sharing"",""ศรีสะเกษ!M467"")"),2240)</f>
        <v>2240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IFERROR(__xludf.DUMMYFUNCTION("IMPORTRANGE(""https://docs.google.com/spreadsheets/d/1XL5vhW3sbDhbH9Cz0tuDiY8C3ctxq1tqvaCgkFb8cCA/edit?usp=sharing"",""ศรีสะเกษ!J468"")"),2869)</f>
        <v>2869</v>
      </c>
      <c r="K573" s="203">
        <f ca="1">IF(I573&gt;0,J573*100/I573,0)</f>
        <v>43.469696969696969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IFERROR(__xludf.DUMMYFUNCTION("IMPORTRANGE(""https://docs.google.com/spreadsheets/d/1XL5vhW3sbDhbH9Cz0tuDiY8C3ctxq1tqvaCgkFb8cCA/edit?usp=sharing"",""ศรีสะเกษ!I470"")"),0)</f>
        <v>0</v>
      </c>
      <c r="J575" s="199">
        <f ca="1">IFERROR(__xludf.DUMMYFUNCTION("IMPORTRANGE(""https://docs.google.com/spreadsheets/d/1XL5vhW3sbDhbH9Cz0tuDiY8C3ctxq1tqvaCgkFb8cCA/edit?usp=sharing"",""ศรีสะเกษ!J470"")"),2)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IFERROR(__xludf.DUMMYFUNCTION("IMPORTRANGE(""https://docs.google.com/spreadsheets/d/1XL5vhW3sbDhbH9Cz0tuDiY8C3ctxq1tqvaCgkFb8cCA/edit?usp=sharing"",""ศรีสะเกษ!I471"")"),0)</f>
        <v>0</v>
      </c>
      <c r="J576" s="199">
        <f ca="1">IFERROR(__xludf.DUMMYFUNCTION("IMPORTRANGE(""https://docs.google.com/spreadsheets/d/1XL5vhW3sbDhbH9Cz0tuDiY8C3ctxq1tqvaCgkFb8cCA/edit?usp=sharing"",""ศรีสะเกษ!J471"")"),345)</f>
        <v>345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IFERROR(__xludf.DUMMYFUNCTION("IMPORTRANGE(""https://docs.google.com/spreadsheets/d/1XL5vhW3sbDhbH9Cz0tuDiY8C3ctxq1tqvaCgkFb8cCA/edit?usp=sharing"",""ศรีสะเกษ!I472"")"),0)</f>
        <v>0</v>
      </c>
      <c r="J577" s="190">
        <f ca="1">IFERROR(__xludf.DUMMYFUNCTION("IMPORTRANGE(""https://docs.google.com/spreadsheets/d/1XL5vhW3sbDhbH9Cz0tuDiY8C3ctxq1tqvaCgkFb8cCA/edit?usp=sharing"",""ศรีสะเกษ!J472"")"),2524)</f>
        <v>2524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IFERROR(__xludf.DUMMYFUNCTION("IMPORTRANGE(""https://docs.google.com/spreadsheets/d/1XL5vhW3sbDhbH9Cz0tuDiY8C3ctxq1tqvaCgkFb8cCA/edit?usp=sharing"",""ศรีสะเกษ!I473"")"),0)</f>
        <v>0</v>
      </c>
      <c r="J578" s="199">
        <f ca="1">IFERROR(__xludf.DUMMYFUNCTION("IMPORTRANGE(""https://docs.google.com/spreadsheets/d/1XL5vhW3sbDhbH9Cz0tuDiY8C3ctxq1tqvaCgkFb8cCA/edit?usp=sharing"",""ศรีสะเกษ!J473"")"),0)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IFERROR(__xludf.DUMMYFUNCTION("IMPORTRANGE(""https://docs.google.com/spreadsheets/d/1XL5vhW3sbDhbH9Cz0tuDiY8C3ctxq1tqvaCgkFb8cCA/edit?usp=sharing"",""ศรีสะเกษ!I474"")"),0)</f>
        <v>0</v>
      </c>
      <c r="J579" s="199">
        <f ca="1">IFERROR(__xludf.DUMMYFUNCTION("IMPORTRANGE(""https://docs.google.com/spreadsheets/d/1XL5vhW3sbDhbH9Cz0tuDiY8C3ctxq1tqvaCgkFb8cCA/edit?usp=sharing"",""ศรีสะเกษ!J474"")"),0)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IFERROR(__xludf.DUMMYFUNCTION("IMPORTRANGE(""https://docs.google.com/spreadsheets/d/1XL5vhW3sbDhbH9Cz0tuDiY8C3ctxq1tqvaCgkFb8cCA/edit?usp=sharing"",""ศรีสะเกษ!J475"")"),32)</f>
        <v>32</v>
      </c>
      <c r="K580" s="372">
        <f ca="1">IF(I580&gt;0,J580*100/I580,0)</f>
        <v>21.333333333333332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IFERROR(__xludf.DUMMYFUNCTION("IMPORTRANGE(""https://docs.google.com/spreadsheets/d/1XL5vhW3sbDhbH9Cz0tuDiY8C3ctxq1tqvaCgkFb8cCA/edit?usp=sharing"",""ศรีสะเกษ!M475"")"),18451.64)</f>
        <v>18451.64</v>
      </c>
      <c r="O580" s="373">
        <f t="shared" ref="O580:O584" ca="1" si="124">+IF(L580&gt;0,N580*100/L580,0)</f>
        <v>5.1866872803935351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IFERROR(__xludf.DUMMYFUNCTION("IMPORTRANGE(""https://docs.google.com/spreadsheets/d/1XL5vhW3sbDhbH9Cz0tuDiY8C3ctxq1tqvaCgkFb8cCA/edit?usp=sharing"",""ศรีสะเกษ!L476"")"),0)</f>
        <v>0</v>
      </c>
      <c r="M581" s="166"/>
      <c r="N581" s="170">
        <f ca="1">IFERROR(__xludf.DUMMYFUNCTION("IMPORTRANGE(""https://docs.google.com/spreadsheets/d/1XL5vhW3sbDhbH9Cz0tuDiY8C3ctxq1tqvaCgkFb8cCA/edit?usp=sharing"",""ศรีสะเกษ!M476"")"),0)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IFERROR(__xludf.DUMMYFUNCTION("IMPORTRANGE(""https://docs.google.com/spreadsheets/d/1XL5vhW3sbDhbH9Cz0tuDiY8C3ctxq1tqvaCgkFb8cCA/edit?usp=sharing"",""ศรีสะเกษ!L477"")"),355750)</f>
        <v>355750</v>
      </c>
      <c r="M582" s="167"/>
      <c r="N582" s="170">
        <f ca="1">IFERROR(__xludf.DUMMYFUNCTION("IMPORTRANGE(""https://docs.google.com/spreadsheets/d/1XL5vhW3sbDhbH9Cz0tuDiY8C3ctxq1tqvaCgkFb8cCA/edit?usp=sharing"",""ศรีสะเกษ!M477"")"),18451.64)</f>
        <v>18451.64</v>
      </c>
      <c r="O582" s="170">
        <f t="shared" ca="1" si="124"/>
        <v>5.1866872803935351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IFERROR(__xludf.DUMMYFUNCTION("IMPORTRANGE(""https://docs.google.com/spreadsheets/d/1XL5vhW3sbDhbH9Cz0tuDiY8C3ctxq1tqvaCgkFb8cCA/edit?usp=sharing"",""ศรีสะเกษ!L478"")"),0)</f>
        <v>0</v>
      </c>
      <c r="M583" s="170"/>
      <c r="N583" s="170">
        <f ca="1">IFERROR(__xludf.DUMMYFUNCTION("IMPORTRANGE(""https://docs.google.com/spreadsheets/d/1XL5vhW3sbDhbH9Cz0tuDiY8C3ctxq1tqvaCgkFb8cCA/edit?usp=sharing"",""ศรีสะเกษ!M478"")"),0)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IFERROR(__xludf.DUMMYFUNCTION("IMPORTRANGE(""https://docs.google.com/spreadsheets/d/1XL5vhW3sbDhbH9Cz0tuDiY8C3ctxq1tqvaCgkFb8cCA/edit?usp=sharing"",""ศรีสะเกษ!L479"")"),355750)</f>
        <v>355750</v>
      </c>
      <c r="M584" s="170"/>
      <c r="N584" s="170">
        <f ca="1">IFERROR(__xludf.DUMMYFUNCTION("IMPORTRANGE(""https://docs.google.com/spreadsheets/d/1XL5vhW3sbDhbH9Cz0tuDiY8C3ctxq1tqvaCgkFb8cCA/edit?usp=sharing"",""ศรีสะเกษ!M479"")"),18451.64)</f>
        <v>18451.64</v>
      </c>
      <c r="O584" s="170">
        <f t="shared" ca="1" si="124"/>
        <v>5.1866872803935351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IFERROR(__xludf.DUMMYFUNCTION("IMPORTRANGE(""https://docs.google.com/spreadsheets/d/1XL5vhW3sbDhbH9Cz0tuDiY8C3ctxq1tqvaCgkFb8cCA/edit?usp=sharing"",""ศรีสะเกษ!M480"")"),0)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IFERROR(__xludf.DUMMYFUNCTION("IMPORTRANGE(""https://docs.google.com/spreadsheets/d/1XL5vhW3sbDhbH9Cz0tuDiY8C3ctxq1tqvaCgkFb8cCA/edit?usp=sharing"",""ศรีสะเกษ!M481"")"),0)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IFERROR(__xludf.DUMMYFUNCTION("IMPORTRANGE(""https://docs.google.com/spreadsheets/d/1XL5vhW3sbDhbH9Cz0tuDiY8C3ctxq1tqvaCgkFb8cCA/edit?usp=sharing"",""ศรีสะเกษ!M482"")"),18451.64)</f>
        <v>18451.64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IFERROR(__xludf.DUMMYFUNCTION("IMPORTRANGE(""https://docs.google.com/spreadsheets/d/1XL5vhW3sbDhbH9Cz0tuDiY8C3ctxq1tqvaCgkFb8cCA/edit?usp=sharing"",""ศรีสะเกษ!M483"")"),0)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IFERROR(__xludf.DUMMYFUNCTION("IMPORTRANGE(""https://docs.google.com/spreadsheets/d/1XL5vhW3sbDhbH9Cz0tuDiY8C3ctxq1tqvaCgkFb8cCA/edit?usp=sharing"",""ศรีสะเกษ!I484"")"),150)</f>
        <v>150</v>
      </c>
      <c r="J589" s="189">
        <f ca="1">IFERROR(__xludf.DUMMYFUNCTION("IMPORTRANGE(""https://docs.google.com/spreadsheets/d/1XL5vhW3sbDhbH9Cz0tuDiY8C3ctxq1tqvaCgkFb8cCA/edit?usp=sharing"",""ศรีสะเกษ!J484"")"),24)</f>
        <v>24</v>
      </c>
      <c r="K589" s="165">
        <f t="shared" ref="K589:K596" ca="1" si="125">IF(I589&gt;0,J589*100/I589,0)</f>
        <v>16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9">
        <f ca="1">IFERROR(__xludf.DUMMYFUNCTION("IMPORTRANGE(""https://docs.google.com/spreadsheets/d/1XL5vhW3sbDhbH9Cz0tuDiY8C3ctxq1tqvaCgkFb8cCA/edit?usp=sharing"",""ศรีสะเกษ!J485"")"),11.9)</f>
        <v>11.9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IFERROR(__xludf.DUMMYFUNCTION("IMPORTRANGE(""https://docs.google.com/spreadsheets/d/1XL5vhW3sbDhbH9Cz0tuDiY8C3ctxq1tqvaCgkFb8cCA/edit?usp=sharing"",""ศรีสะเกษ!I486"")"),150)</f>
        <v>150</v>
      </c>
      <c r="J591" s="189">
        <f ca="1">IFERROR(__xludf.DUMMYFUNCTION("IMPORTRANGE(""https://docs.google.com/spreadsheets/d/1XL5vhW3sbDhbH9Cz0tuDiY8C3ctxq1tqvaCgkFb8cCA/edit?usp=sharing"",""ศรีสะเกษ!J486"")"),12)</f>
        <v>12</v>
      </c>
      <c r="K591" s="165">
        <f t="shared" ca="1" si="125"/>
        <v>8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9">
        <f ca="1">IFERROR(__xludf.DUMMYFUNCTION("IMPORTRANGE(""https://docs.google.com/spreadsheets/d/1XL5vhW3sbDhbH9Cz0tuDiY8C3ctxq1tqvaCgkFb8cCA/edit?usp=sharing"",""ศรีสะเกษ!J487"")"),5.22)</f>
        <v>5.22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IFERROR(__xludf.DUMMYFUNCTION("IMPORTRANGE(""https://docs.google.com/spreadsheets/d/1XL5vhW3sbDhbH9Cz0tuDiY8C3ctxq1tqvaCgkFb8cCA/edit?usp=sharing"",""ศรีสะเกษ!I488"")"),150)</f>
        <v>150</v>
      </c>
      <c r="J593" s="189">
        <f ca="1">IFERROR(__xludf.DUMMYFUNCTION("IMPORTRANGE(""https://docs.google.com/spreadsheets/d/1XL5vhW3sbDhbH9Cz0tuDiY8C3ctxq1tqvaCgkFb8cCA/edit?usp=sharing"",""ศรีสะเกษ!J488"")"),0)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9">
        <f ca="1">IFERROR(__xludf.DUMMYFUNCTION("IMPORTRANGE(""https://docs.google.com/spreadsheets/d/1XL5vhW3sbDhbH9Cz0tuDiY8C3ctxq1tqvaCgkFb8cCA/edit?usp=sharing"",""ศรีสะเกษ!J489"")"),0)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IFERROR(__xludf.DUMMYFUNCTION("IMPORTRANGE(""https://docs.google.com/spreadsheets/d/1XL5vhW3sbDhbH9Cz0tuDiY8C3ctxq1tqvaCgkFb8cCA/edit?usp=sharing"",""ศรีสะเกษ!I490"")"),150)</f>
        <v>150</v>
      </c>
      <c r="J595" s="189">
        <f ca="1">IFERROR(__xludf.DUMMYFUNCTION("IMPORTRANGE(""https://docs.google.com/spreadsheets/d/1XL5vhW3sbDhbH9Cz0tuDiY8C3ctxq1tqvaCgkFb8cCA/edit?usp=sharing"",""ศรีสะเกษ!J490"")"),32)</f>
        <v>32</v>
      </c>
      <c r="K595" s="165">
        <f t="shared" ca="1" si="125"/>
        <v>21.333333333333332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IFERROR(__xludf.DUMMYFUNCTION("IMPORTRANGE(""https://docs.google.com/spreadsheets/d/1XL5vhW3sbDhbH9Cz0tuDiY8C3ctxq1tqvaCgkFb8cCA/edit?usp=sharing"",""ศรีสะเกษ!J491"")"),13.56)</f>
        <v>13.56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7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IFERROR(__xludf.DUMMYFUNCTION("IMPORTRANGE(""https://docs.google.com/spreadsheets/d/1XL5vhW3sbDhbH9Cz0tuDiY8C3ctxq1tqvaCgkFb8cCA/edit?usp=sharing"",""ศรีสะเกษ!L493"")"),0)</f>
        <v>0</v>
      </c>
      <c r="M598" s="166"/>
      <c r="N598" s="170">
        <f ca="1">IFERROR(__xludf.DUMMYFUNCTION("IMPORTRANGE(""https://docs.google.com/spreadsheets/d/1XL5vhW3sbDhbH9Cz0tuDiY8C3ctxq1tqvaCgkFb8cCA/edit?usp=sharing"",""ศรีสะเกษ!M493"")"),0)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IFERROR(__xludf.DUMMYFUNCTION("IMPORTRANGE(""https://docs.google.com/spreadsheets/d/1XL5vhW3sbDhbH9Cz0tuDiY8C3ctxq1tqvaCgkFb8cCA/edit?usp=sharing"",""ศรีสะเกษ!L494"")"),9700)</f>
        <v>9700</v>
      </c>
      <c r="M599" s="167"/>
      <c r="N599" s="170">
        <f ca="1">IFERROR(__xludf.DUMMYFUNCTION("IMPORTRANGE(""https://docs.google.com/spreadsheets/d/1XL5vhW3sbDhbH9Cz0tuDiY8C3ctxq1tqvaCgkFb8cCA/edit?usp=sharing"",""ศรีสะเกษ!M494"")"),0)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IFERROR(__xludf.DUMMYFUNCTION("IMPORTRANGE(""https://docs.google.com/spreadsheets/d/1XL5vhW3sbDhbH9Cz0tuDiY8C3ctxq1tqvaCgkFb8cCA/edit?usp=sharing"",""ศรีสะเกษ!L495"")"),0)</f>
        <v>0</v>
      </c>
      <c r="M600" s="170"/>
      <c r="N600" s="170">
        <f ca="1">IFERROR(__xludf.DUMMYFUNCTION("IMPORTRANGE(""https://docs.google.com/spreadsheets/d/1XL5vhW3sbDhbH9Cz0tuDiY8C3ctxq1tqvaCgkFb8cCA/edit?usp=sharing"",""ศรีสะเกษ!M495"")"),0)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IFERROR(__xludf.DUMMYFUNCTION("IMPORTRANGE(""https://docs.google.com/spreadsheets/d/1XL5vhW3sbDhbH9Cz0tuDiY8C3ctxq1tqvaCgkFb8cCA/edit?usp=sharing"",""ศรีสะเกษ!L496"")"),9700)</f>
        <v>9700</v>
      </c>
      <c r="M601" s="170"/>
      <c r="N601" s="170">
        <f ca="1">IFERROR(__xludf.DUMMYFUNCTION("IMPORTRANGE(""https://docs.google.com/spreadsheets/d/1XL5vhW3sbDhbH9Cz0tuDiY8C3ctxq1tqvaCgkFb8cCA/edit?usp=sharing"",""ศรีสะเกษ!M496"")"),0)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IFERROR(__xludf.DUMMYFUNCTION("IMPORTRANGE(""https://docs.google.com/spreadsheets/d/1XL5vhW3sbDhbH9Cz0tuDiY8C3ctxq1tqvaCgkFb8cCA/edit?usp=sharing"",""ศรีสะเกษ!M497"")"),0)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IFERROR(__xludf.DUMMYFUNCTION("IMPORTRANGE(""https://docs.google.com/spreadsheets/d/1XL5vhW3sbDhbH9Cz0tuDiY8C3ctxq1tqvaCgkFb8cCA/edit?usp=sharing"",""ศรีสะเกษ!M498"")"),0)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IFERROR(__xludf.DUMMYFUNCTION("IMPORTRANGE(""https://docs.google.com/spreadsheets/d/1XL5vhW3sbDhbH9Cz0tuDiY8C3ctxq1tqvaCgkFb8cCA/edit?usp=sharing"",""ศรีสะเกษ!M500"")"),0)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IFERROR(__xludf.DUMMYFUNCTION("IMPORTRANGE(""https://docs.google.com/spreadsheets/d/1XL5vhW3sbDhbH9Cz0tuDiY8C3ctxq1tqvaCgkFb8cCA/edit?usp=sharing"",""ศรีสะเกษ!J502"")"),0)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IFERROR(__xludf.DUMMYFUNCTION("IMPORTRANGE(""https://docs.google.com/spreadsheets/d/1XL5vhW3sbDhbH9Cz0tuDiY8C3ctxq1tqvaCgkFb8cCA/edit?usp=sharing"",""ศรีสะเกษ!J503"")"),1)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IFERROR(__xludf.DUMMYFUNCTION("IMPORTRANGE(""https://docs.google.com/spreadsheets/d/1XL5vhW3sbDhbH9Cz0tuDiY8C3ctxq1tqvaCgkFb8cCA/edit?usp=sharing"",""ศรีสะเกษ!J166"")"),0)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IFERROR(__xludf.DUMMYFUNCTION("IMPORTRANGE(""https://docs.google.com/spreadsheets/d/1XL5vhW3sbDhbH9Cz0tuDiY8C3ctxq1tqvaCgkFb8cCA/edit?usp=sharing"",""ศรีสะเกษ!J166"")"),0)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IFERROR(__xludf.DUMMYFUNCTION("IMPORTRANGE(""https://docs.google.com/spreadsheets/d/1XL5vhW3sbDhbH9Cz0tuDiY8C3ctxq1tqvaCgkFb8cCA/edit?usp=sharing"",""ศรีสะเกษ!I506"")"),100)</f>
        <v>100</v>
      </c>
      <c r="J611" s="164">
        <f ca="1">IFERROR(__xludf.DUMMYFUNCTION("IMPORTRANGE(""https://docs.google.com/spreadsheets/d/1XL5vhW3sbDhbH9Cz0tuDiY8C3ctxq1tqvaCgkFb8cCA/edit?usp=sharing"",""ศรีสะเกษ!J506"")"),0)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IFERROR(__xludf.DUMMYFUNCTION("IMPORTRANGE(""https://docs.google.com/spreadsheets/d/1XL5vhW3sbDhbH9Cz0tuDiY8C3ctxq1tqvaCgkFb8cCA/edit?usp=sharing"",""ศรีสะเกษ!I507"")"),0)</f>
        <v>0</v>
      </c>
      <c r="J612" s="199">
        <f ca="1">IFERROR(__xludf.DUMMYFUNCTION("IMPORTRANGE(""https://docs.google.com/spreadsheets/d/1XL5vhW3sbDhbH9Cz0tuDiY8C3ctxq1tqvaCgkFb8cCA/edit?usp=sharing"",""ศรีสะเกษ!J507"")"),0)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IFERROR(__xludf.DUMMYFUNCTION("IMPORTRANGE(""https://docs.google.com/spreadsheets/d/1XL5vhW3sbDhbH9Cz0tuDiY8C3ctxq1tqvaCgkFb8cCA/edit?usp=sharing"",""ศรีสะเกษ!I508"")"),0)</f>
        <v>0</v>
      </c>
      <c r="J613" s="199">
        <f ca="1">IFERROR(__xludf.DUMMYFUNCTION("IMPORTRANGE(""https://docs.google.com/spreadsheets/d/1XL5vhW3sbDhbH9Cz0tuDiY8C3ctxq1tqvaCgkFb8cCA/edit?usp=sharing"",""ศรีสะเกษ!J508"")"),0)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IFERROR(__xludf.DUMMYFUNCTION("IMPORTRANGE(""https://docs.google.com/spreadsheets/d/1XL5vhW3sbDhbH9Cz0tuDiY8C3ctxq1tqvaCgkFb8cCA/edit?usp=sharing"",""ศรีสะเกษ!I509"")"),0)</f>
        <v>0</v>
      </c>
      <c r="J614" s="199">
        <f ca="1">IFERROR(__xludf.DUMMYFUNCTION("IMPORTRANGE(""https://docs.google.com/spreadsheets/d/1XL5vhW3sbDhbH9Cz0tuDiY8C3ctxq1tqvaCgkFb8cCA/edit?usp=sharing"",""ศรีสะเกษ!J509"")"),0)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IFERROR(__xludf.DUMMYFUNCTION("IMPORTRANGE(""https://docs.google.com/spreadsheets/d/1XL5vhW3sbDhbH9Cz0tuDiY8C3ctxq1tqvaCgkFb8cCA/edit?usp=sharing"",""ศรีสะเกษ!I510"")"),0)</f>
        <v>0</v>
      </c>
      <c r="J615" s="199">
        <f ca="1">IFERROR(__xludf.DUMMYFUNCTION("IMPORTRANGE(""https://docs.google.com/spreadsheets/d/1XL5vhW3sbDhbH9Cz0tuDiY8C3ctxq1tqvaCgkFb8cCA/edit?usp=sharing"",""ศรีสะเกษ!J510"")"),0)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IFERROR(__xludf.DUMMYFUNCTION("IMPORTRANGE(""https://docs.google.com/spreadsheets/d/1XL5vhW3sbDhbH9Cz0tuDiY8C3ctxq1tqvaCgkFb8cCA/edit?usp=sharing"",""ศรีสะเกษ!I511"")"),0)</f>
        <v>0</v>
      </c>
      <c r="J616" s="199">
        <f ca="1">IFERROR(__xludf.DUMMYFUNCTION("IMPORTRANGE(""https://docs.google.com/spreadsheets/d/1XL5vhW3sbDhbH9Cz0tuDiY8C3ctxq1tqvaCgkFb8cCA/edit?usp=sharing"",""ศรีสะเกษ!J511"")"),0)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IFERROR(__xludf.DUMMYFUNCTION("IMPORTRANGE(""https://docs.google.com/spreadsheets/d/1XL5vhW3sbDhbH9Cz0tuDiY8C3ctxq1tqvaCgkFb8cCA/edit?usp=sharing"",""ศรีสะเกษ!I512"")"),0)</f>
        <v>0</v>
      </c>
      <c r="J617" s="189">
        <f ca="1">IFERROR(__xludf.DUMMYFUNCTION("IMPORTRANGE(""https://docs.google.com/spreadsheets/d/1XL5vhW3sbDhbH9Cz0tuDiY8C3ctxq1tqvaCgkFb8cCA/edit?usp=sharing"",""ศรีสะเกษ!J512"")"),0)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IFERROR(__xludf.DUMMYFUNCTION("IMPORTRANGE(""https://docs.google.com/spreadsheets/d/1XL5vhW3sbDhbH9Cz0tuDiY8C3ctxq1tqvaCgkFb8cCA/edit?usp=sharing"",""ศรีสะเกษ!I513"")"),0)</f>
        <v>0</v>
      </c>
      <c r="J618" s="190">
        <f ca="1">IFERROR(__xludf.DUMMYFUNCTION("IMPORTRANGE(""https://docs.google.com/spreadsheets/d/1XL5vhW3sbDhbH9Cz0tuDiY8C3ctxq1tqvaCgkFb8cCA/edit?usp=sharing"",""ศรีสะเกษ!J513"")"),0)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IFERROR(__xludf.DUMMYFUNCTION("IMPORTRANGE(""https://docs.google.com/spreadsheets/d/1XL5vhW3sbDhbH9Cz0tuDiY8C3ctxq1tqvaCgkFb8cCA/edit?usp=sharing"",""ศรีสะเกษ!I514"")"),0)</f>
        <v>0</v>
      </c>
      <c r="J619" s="190">
        <f ca="1">IFERROR(__xludf.DUMMYFUNCTION("IMPORTRANGE(""https://docs.google.com/spreadsheets/d/1XL5vhW3sbDhbH9Cz0tuDiY8C3ctxq1tqvaCgkFb8cCA/edit?usp=sharing"",""ศรีสะเกษ!J514"")"),0)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IFERROR(__xludf.DUMMYFUNCTION("IMPORTRANGE(""https://docs.google.com/spreadsheets/d/1XL5vhW3sbDhbH9Cz0tuDiY8C3ctxq1tqvaCgkFb8cCA/edit?usp=sharing"",""ศรีสะเกษ!I515"")"),0)</f>
        <v>0</v>
      </c>
      <c r="J620" s="204">
        <f ca="1">IFERROR(__xludf.DUMMYFUNCTION("IMPORTRANGE(""https://docs.google.com/spreadsheets/d/1XL5vhW3sbDhbH9Cz0tuDiY8C3ctxq1tqvaCgkFb8cCA/edit?usp=sharing"",""ศรีสะเกษ!J515"")"),0)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IFERROR(__xludf.DUMMYFUNCTION("IMPORTRANGE(""https://docs.google.com/spreadsheets/d/1XL5vhW3sbDhbH9Cz0tuDiY8C3ctxq1tqvaCgkFb8cCA/edit?usp=sharing"",""ศรีสะเกษ!I516"")"),0)</f>
        <v>0</v>
      </c>
      <c r="J621" s="204">
        <f ca="1">IFERROR(__xludf.DUMMYFUNCTION("IMPORTRANGE(""https://docs.google.com/spreadsheets/d/1XL5vhW3sbDhbH9Cz0tuDiY8C3ctxq1tqvaCgkFb8cCA/edit?usp=sharing"",""ศรีสะเกษ!J516"")"),0)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IFERROR(__xludf.DUMMYFUNCTION("IMPORTRANGE(""https://docs.google.com/spreadsheets/d/1XL5vhW3sbDhbH9Cz0tuDiY8C3ctxq1tqvaCgkFb8cCA/edit?usp=sharing"",""ศรีสะเกษ!I517"")"),0)</f>
        <v>0</v>
      </c>
      <c r="J622" s="190">
        <f ca="1">IFERROR(__xludf.DUMMYFUNCTION("IMPORTRANGE(""https://docs.google.com/spreadsheets/d/1XL5vhW3sbDhbH9Cz0tuDiY8C3ctxq1tqvaCgkFb8cCA/edit?usp=sharing"",""ศรีสะเกษ!J517"")"),0)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IFERROR(__xludf.DUMMYFUNCTION("IMPORTRANGE(""https://docs.google.com/spreadsheets/d/1XL5vhW3sbDhbH9Cz0tuDiY8C3ctxq1tqvaCgkFb8cCA/edit?usp=sharing"",""ศรีสะเกษ!I518"")"),0)</f>
        <v>0</v>
      </c>
      <c r="J623" s="190">
        <f ca="1">IFERROR(__xludf.DUMMYFUNCTION("IMPORTRANGE(""https://docs.google.com/spreadsheets/d/1XL5vhW3sbDhbH9Cz0tuDiY8C3ctxq1tqvaCgkFb8cCA/edit?usp=sharing"",""ศรีสะเกษ!J518"")"),0)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IFERROR(__xludf.DUMMYFUNCTION("IMPORTRANGE(""https://docs.google.com/spreadsheets/d/1XL5vhW3sbDhbH9Cz0tuDiY8C3ctxq1tqvaCgkFb8cCA/edit?usp=sharing"",""ศรีสะเกษ!I519"")"),0)</f>
        <v>0</v>
      </c>
      <c r="J624" s="189">
        <f ca="1">IFERROR(__xludf.DUMMYFUNCTION("IMPORTRANGE(""https://docs.google.com/spreadsheets/d/1XL5vhW3sbDhbH9Cz0tuDiY8C3ctxq1tqvaCgkFb8cCA/edit?usp=sharing"",""ศรีสะเกษ!J519"")"),0)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IFERROR(__xludf.DUMMYFUNCTION("IMPORTRANGE(""https://docs.google.com/spreadsheets/d/1XL5vhW3sbDhbH9Cz0tuDiY8C3ctxq1tqvaCgkFb8cCA/edit?usp=sharing"",""ศรีสะเกษ!I520"")"),0)</f>
        <v>0</v>
      </c>
      <c r="J625" s="190">
        <f ca="1">IFERROR(__xludf.DUMMYFUNCTION("IMPORTRANGE(""https://docs.google.com/spreadsheets/d/1XL5vhW3sbDhbH9Cz0tuDiY8C3ctxq1tqvaCgkFb8cCA/edit?usp=sharing"",""ศรีสะเกษ!J520"")"),0)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IFERROR(__xludf.DUMMYFUNCTION("IMPORTRANGE(""https://docs.google.com/spreadsheets/d/1XL5vhW3sbDhbH9Cz0tuDiY8C3ctxq1tqvaCgkFb8cCA/edit?usp=sharing"",""ศรีสะเกษ!I521"")"),0)</f>
        <v>0</v>
      </c>
      <c r="J626" s="190">
        <f ca="1">IFERROR(__xludf.DUMMYFUNCTION("IMPORTRANGE(""https://docs.google.com/spreadsheets/d/1XL5vhW3sbDhbH9Cz0tuDiY8C3ctxq1tqvaCgkFb8cCA/edit?usp=sharing"",""ศรีสะเกษ!J521"")"),0)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1">
        <f ca="1">IFERROR(__xludf.DUMMYFUNCTION("IMPORTRANGE(""https://docs.google.com/spreadsheets/d/1XL5vhW3sbDhbH9Cz0tuDiY8C3ctxq1tqvaCgkFb8cCA/edit?usp=sharing"",""ศรีสะเกษ!J523"")"),1857636.26)</f>
        <v>1857636.26</v>
      </c>
      <c r="K628" s="342">
        <f t="shared" ref="K628:K635" ca="1" si="129">IF(I628&gt;0,J628*100/I628,0)</f>
        <v>20.684525717197626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IFERROR(__xludf.DUMMYFUNCTION("IMPORTRANGE(""https://docs.google.com/spreadsheets/d/1XL5vhW3sbDhbH9Cz0tuDiY8C3ctxq1tqvaCgkFb8cCA/edit?usp=sharing"",""ศรีสะเกษ!I524"")"),695)</f>
        <v>695</v>
      </c>
      <c r="J629" s="341">
        <f ca="1">IFERROR(__xludf.DUMMYFUNCTION("IMPORTRANGE(""https://docs.google.com/spreadsheets/d/1XL5vhW3sbDhbH9Cz0tuDiY8C3ctxq1tqvaCgkFb8cCA/edit?usp=sharing"",""ศรีสะเกษ!J524"")"),131)</f>
        <v>131</v>
      </c>
      <c r="K629" s="342">
        <f t="shared" ca="1" si="129"/>
        <v>18.848920863309353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1">
        <f ca="1">IFERROR(__xludf.DUMMYFUNCTION("IMPORTRANGE(""https://docs.google.com/spreadsheets/d/1XL5vhW3sbDhbH9Cz0tuDiY8C3ctxq1tqvaCgkFb8cCA/edit?usp=sharing"",""ศรีสะเกษ!J525"")"),2200376.32)</f>
        <v>2200376.3199999998</v>
      </c>
      <c r="K630" s="342">
        <f t="shared" ca="1" si="129"/>
        <v>9.581347144068129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IFERROR(__xludf.DUMMYFUNCTION("IMPORTRANGE(""https://docs.google.com/spreadsheets/d/1XL5vhW3sbDhbH9Cz0tuDiY8C3ctxq1tqvaCgkFb8cCA/edit?usp=sharing"",""ศรีสะเกษ!I526"")"),1393)</f>
        <v>1393</v>
      </c>
      <c r="J631" s="341">
        <f ca="1">IFERROR(__xludf.DUMMYFUNCTION("IMPORTRANGE(""https://docs.google.com/spreadsheets/d/1XL5vhW3sbDhbH9Cz0tuDiY8C3ctxq1tqvaCgkFb8cCA/edit?usp=sharing"",""ศรีสะเกษ!J526"")"),365)</f>
        <v>365</v>
      </c>
      <c r="K631" s="342">
        <f t="shared" ca="1" si="129"/>
        <v>26.202440775305096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1">
        <f ca="1">IFERROR(__xludf.DUMMYFUNCTION("IMPORTRANGE(""https://docs.google.com/spreadsheets/d/1XL5vhW3sbDhbH9Cz0tuDiY8C3ctxq1tqvaCgkFb8cCA/edit?usp=sharing"",""ศรีสะเกษ!J527"")"),500161.84)</f>
        <v>500161.84</v>
      </c>
      <c r="K632" s="342">
        <f t="shared" ca="1" si="129"/>
        <v>26.933257838351011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IFERROR(__xludf.DUMMYFUNCTION("IMPORTRANGE(""https://docs.google.com/spreadsheets/d/1XL5vhW3sbDhbH9Cz0tuDiY8C3ctxq1tqvaCgkFb8cCA/edit?usp=sharing"",""ศรีสะเกษ!I528"")"),105)</f>
        <v>105</v>
      </c>
      <c r="J633" s="341">
        <f ca="1">IFERROR(__xludf.DUMMYFUNCTION("IMPORTRANGE(""https://docs.google.com/spreadsheets/d/1XL5vhW3sbDhbH9Cz0tuDiY8C3ctxq1tqvaCgkFb8cCA/edit?usp=sharing"",""ศรีสะเกษ!J528"")"),26)</f>
        <v>26</v>
      </c>
      <c r="K633" s="342">
        <f t="shared" ca="1" si="129"/>
        <v>24.761904761904763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IFERROR(__xludf.DUMMYFUNCTION("IMPORTRANGE(""https://docs.google.com/spreadsheets/d/1XL5vhW3sbDhbH9Cz0tuDiY8C3ctxq1tqvaCgkFb8cCA/edit?usp=sharing"",""ศรีสะเกษ!I529"")"),8000000)</f>
        <v>8000000</v>
      </c>
      <c r="J634" s="341">
        <f ca="1">IFERROR(__xludf.DUMMYFUNCTION("IMPORTRANGE(""https://docs.google.com/spreadsheets/d/1XL5vhW3sbDhbH9Cz0tuDiY8C3ctxq1tqvaCgkFb8cCA/edit?usp=sharing"",""ศรีสะเกษ!J529"")"),8000000)</f>
        <v>8000000</v>
      </c>
      <c r="K634" s="342">
        <f t="shared" ca="1" si="129"/>
        <v>100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IFERROR(__xludf.DUMMYFUNCTION("IMPORTRANGE(""https://docs.google.com/spreadsheets/d/1XL5vhW3sbDhbH9Cz0tuDiY8C3ctxq1tqvaCgkFb8cCA/edit?usp=sharing"",""ศรีสะเกษ!I530"")"),200)</f>
        <v>200</v>
      </c>
      <c r="J635" s="504">
        <f ca="1">IFERROR(__xludf.DUMMYFUNCTION("IMPORTRANGE(""https://docs.google.com/spreadsheets/d/1XL5vhW3sbDhbH9Cz0tuDiY8C3ctxq1tqvaCgkFb8cCA/edit?usp=sharing"",""ศรีสะเกษ!J530"")"),240)</f>
        <v>240</v>
      </c>
      <c r="K635" s="486">
        <f t="shared" ca="1" si="129"/>
        <v>120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6651286</v>
      </c>
      <c r="M8" s="23">
        <f t="shared" ca="1" si="0"/>
        <v>2466990</v>
      </c>
      <c r="N8" s="23">
        <f t="shared" ca="1" si="0"/>
        <v>2668742.7199999997</v>
      </c>
      <c r="O8" s="22">
        <f t="shared" ref="O8:O16" ca="1" si="1">IF(L8&gt;0,N8*100/L8,0)</f>
        <v>40.12371021182971</v>
      </c>
      <c r="P8" s="22">
        <f t="shared" ref="P8:P16" ca="1" si="2">IF(M8&gt;0,N8*100/M8,0)</f>
        <v>108.17809233114036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6651286</v>
      </c>
      <c r="M10" s="30">
        <f t="shared" ca="1" si="4"/>
        <v>2466990</v>
      </c>
      <c r="N10" s="30">
        <f t="shared" ca="1" si="4"/>
        <v>2668742.7199999997</v>
      </c>
      <c r="O10" s="29">
        <f t="shared" ca="1" si="1"/>
        <v>40.12371021182971</v>
      </c>
      <c r="P10" s="29">
        <f t="shared" ca="1" si="2"/>
        <v>108.17809233114036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6464886</v>
      </c>
      <c r="M12" s="38">
        <f t="shared" ca="1" si="6"/>
        <v>2280590</v>
      </c>
      <c r="N12" s="38">
        <f t="shared" ca="1" si="6"/>
        <v>2482342.7199999997</v>
      </c>
      <c r="O12" s="38">
        <f t="shared" ca="1" si="1"/>
        <v>38.39731620944282</v>
      </c>
      <c r="P12" s="38">
        <f t="shared" ca="1" si="2"/>
        <v>108.84651427919967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4128986</v>
      </c>
      <c r="M14" s="38">
        <f t="shared" si="8"/>
        <v>0</v>
      </c>
      <c r="N14" s="38">
        <f t="shared" ca="1" si="8"/>
        <v>645214.71999999997</v>
      </c>
      <c r="O14" s="38">
        <f t="shared" ca="1" si="1"/>
        <v>15.626469065286248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186400</v>
      </c>
      <c r="M16" s="38">
        <f t="shared" ca="1" si="10"/>
        <v>186400</v>
      </c>
      <c r="N16" s="38">
        <f t="shared" ca="1" si="10"/>
        <v>186400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4345260</v>
      </c>
      <c r="M18" s="23">
        <f t="shared" ca="1" si="11"/>
        <v>2466990</v>
      </c>
      <c r="N18" s="23">
        <f t="shared" ca="1" si="11"/>
        <v>2023528</v>
      </c>
      <c r="O18" s="22">
        <f t="shared" ref="O18:O20" ca="1" si="12">IF(L18&gt;0,N18*100/L18,0)</f>
        <v>46.568628804720547</v>
      </c>
      <c r="P18" s="22">
        <f t="shared" ref="P18:P26" ca="1" si="13">IF(M18&gt;0,N18*100/M18,0)</f>
        <v>82.024167102420364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4345260</v>
      </c>
      <c r="M20" s="30">
        <f t="shared" ca="1" si="15"/>
        <v>2466990</v>
      </c>
      <c r="N20" s="30">
        <f t="shared" ca="1" si="15"/>
        <v>2023528</v>
      </c>
      <c r="O20" s="29">
        <f t="shared" ca="1" si="12"/>
        <v>46.568628804720547</v>
      </c>
      <c r="P20" s="29">
        <f t="shared" ca="1" si="13"/>
        <v>82.024167102420364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4158860</v>
      </c>
      <c r="M22" s="41">
        <f t="shared" ca="1" si="18"/>
        <v>2280590</v>
      </c>
      <c r="N22" s="38">
        <f t="shared" ca="1" si="18"/>
        <v>1837128</v>
      </c>
      <c r="O22" s="38">
        <f t="shared" ca="1" si="17"/>
        <v>44.173836099315679</v>
      </c>
      <c r="P22" s="38">
        <f t="shared" ca="1" si="13"/>
        <v>80.554944115338571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1822960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186400</v>
      </c>
      <c r="M26" s="49">
        <f t="shared" ca="1" si="22"/>
        <v>186400</v>
      </c>
      <c r="N26" s="49">
        <f t="shared" ca="1" si="22"/>
        <v>186400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2306026</v>
      </c>
      <c r="M28" s="23">
        <f t="shared" si="23"/>
        <v>0</v>
      </c>
      <c r="N28" s="23">
        <f t="shared" ca="1" si="23"/>
        <v>645214.71999999997</v>
      </c>
      <c r="O28" s="22">
        <f t="shared" ref="O28:O30" ca="1" si="24">IF(L28&gt;0,N28*100/L28,0)</f>
        <v>27.979507603123295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2306026</v>
      </c>
      <c r="M30" s="30">
        <f t="shared" si="27"/>
        <v>0</v>
      </c>
      <c r="N30" s="30">
        <f t="shared" ca="1" si="27"/>
        <v>645214.71999999997</v>
      </c>
      <c r="O30" s="29">
        <f t="shared" ca="1" si="24"/>
        <v>27.979507603123295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2306026</v>
      </c>
      <c r="M32" s="38">
        <f t="shared" si="30"/>
        <v>0</v>
      </c>
      <c r="N32" s="38">
        <f t="shared" ca="1" si="30"/>
        <v>645214.71999999997</v>
      </c>
      <c r="O32" s="38">
        <f t="shared" ca="1" si="29"/>
        <v>27.979507603123295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2306026</v>
      </c>
      <c r="M34" s="38">
        <f t="shared" si="32"/>
        <v>0</v>
      </c>
      <c r="N34" s="38">
        <f t="shared" ca="1" si="32"/>
        <v>645214.71999999997</v>
      </c>
      <c r="O34" s="38">
        <f t="shared" ca="1" si="29"/>
        <v>27.979507603123295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4345260</v>
      </c>
      <c r="M37" s="54">
        <f t="shared" ca="1" si="33"/>
        <v>2466990</v>
      </c>
      <c r="N37" s="54">
        <f t="shared" ca="1" si="33"/>
        <v>2023528</v>
      </c>
      <c r="O37" s="55">
        <f t="shared" ca="1" si="29"/>
        <v>46.568628804720547</v>
      </c>
      <c r="P37" s="55">
        <f t="shared" ca="1" si="25"/>
        <v>82.024167102420364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882500</v>
      </c>
      <c r="M41" s="78">
        <f t="shared" ca="1" si="34"/>
        <v>496400</v>
      </c>
      <c r="N41" s="78">
        <f t="shared" ca="1" si="34"/>
        <v>463746</v>
      </c>
      <c r="O41" s="77">
        <f t="shared" ref="O41:O43" ca="1" si="35">IF(L41&gt;0,N41*100/L41,0)</f>
        <v>52.549121813031164</v>
      </c>
      <c r="P41" s="77">
        <f t="shared" ref="P41:P43" ca="1" si="36">IF(M41&gt;0,N41*100/M41,0)</f>
        <v>93.421837228041895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882500</v>
      </c>
      <c r="M43" s="78">
        <f t="shared" ca="1" si="38"/>
        <v>496400</v>
      </c>
      <c r="N43" s="78">
        <f t="shared" ca="1" si="38"/>
        <v>463746</v>
      </c>
      <c r="O43" s="77">
        <f t="shared" ca="1" si="35"/>
        <v>52.549121813031164</v>
      </c>
      <c r="P43" s="77">
        <f t="shared" ca="1" si="36"/>
        <v>93.421837228041895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533">
        <f ca="1">IFERROR(__xludf.DUMMYFUNCTION("IMPORTRANGE(""https://docs.google.com/spreadsheets/d/1Yj_ptqi66GCucihVvJfMjLAmec39IyEx_6qawtMGysU/edit?usp=sharing"",""สบก!Q51"")"),402000)</f>
        <v>402000</v>
      </c>
      <c r="N45" s="533">
        <f ca="1">IFERROR(__xludf.DUMMYFUNCTION("IMPORTRANGE(""https://docs.google.com/spreadsheets/d/1Yj_ptqi66GCucihVvJfMjLAmec39IyEx_6qawtMGysU/edit?usp=sharing"",""สบก!R51"")"),369346)</f>
        <v>369346</v>
      </c>
      <c r="O45" s="534">
        <f ca="1">IF(L45&gt;0,N45*100/L45,0)</f>
        <v>46.865372414668187</v>
      </c>
      <c r="P45" s="534">
        <f ca="1">IF(M45&gt;0,N45*100/M45,0)</f>
        <v>91.87711442786069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IFERROR(__xludf.DUMMYFUNCTION("IMPORTRANGE(""https://docs.google.com/spreadsheets/d/1Yj_ptqi66GCucihVvJfMjLAmec39IyEx_6qawtMGysU/edit?usp=sharing"",""สบก!M51"")"),788100)</f>
        <v>788100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IFERROR(__xludf.DUMMYFUNCTION("IMPORTRANGE(""https://docs.google.com/spreadsheets/d/1Yj_ptqi66GCucihVvJfMjLAmec39IyEx_6qawtMGysU/edit?usp=sharing"",""สบก!N51"")"),0)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IFERROR(__xludf.DUMMYFUNCTION("IMPORTRANGE(""https://docs.google.com/spreadsheets/d/1Yj_ptqi66GCucihVvJfMjLAmec39IyEx_6qawtMGysU/edit?usp=sharing"",""สบก!O51"")"),94400)</f>
        <v>94400</v>
      </c>
      <c r="M49" s="536">
        <f ca="1">L49</f>
        <v>94400</v>
      </c>
      <c r="N49" s="533">
        <f ca="1">IFERROR(__xludf.DUMMYFUNCTION("IMPORTRANGE(""https://docs.google.com/spreadsheets/d/1Yj_ptqi66GCucihVvJfMjLAmec39IyEx_6qawtMGysU/edit?usp=sharing"",""สบก!S51"")"),94400)</f>
        <v>94400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391720</v>
      </c>
      <c r="N53" s="121">
        <f t="shared" ca="1" si="39"/>
        <v>382778</v>
      </c>
      <c r="O53" s="120">
        <f t="shared" ref="O53:O55" ca="1" si="40">IF(L53&gt;0,N53*100/L53,0)</f>
        <v>49.531314699792958</v>
      </c>
      <c r="P53" s="120">
        <f t="shared" ref="P53:P55" ca="1" si="41">IF(M53&gt;0,N53*100/M53,0)</f>
        <v>97.717247013172681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391720</v>
      </c>
      <c r="N55" s="121">
        <f t="shared" ca="1" si="43"/>
        <v>382778</v>
      </c>
      <c r="O55" s="120">
        <f t="shared" ca="1" si="40"/>
        <v>49.531314699792958</v>
      </c>
      <c r="P55" s="120">
        <f t="shared" ca="1" si="41"/>
        <v>97.717247013172681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533">
        <f ca="1">IFERROR(__xludf.DUMMYFUNCTION("IMPORTRANGE(""https://docs.google.com/spreadsheets/d/1Yj_ptqi66GCucihVvJfMjLAmec39IyEx_6qawtMGysU/edit?usp=sharing"",""สบก!Z51"")"),391720)</f>
        <v>391720</v>
      </c>
      <c r="N57" s="533">
        <f ca="1">IFERROR(__xludf.DUMMYFUNCTION("IMPORTRANGE(""https://docs.google.com/spreadsheets/d/1Yj_ptqi66GCucihVvJfMjLAmec39IyEx_6qawtMGysU/edit?usp=sharing"",""สบก!AA51"")"),382778)</f>
        <v>382778</v>
      </c>
      <c r="O57" s="534">
        <f ca="1">IF(L57&gt;0,N57*100/L57,0)</f>
        <v>49.531314699792958</v>
      </c>
      <c r="P57" s="534">
        <f ca="1">IF(M57&gt;0,N57*100/M57,0)</f>
        <v>97.717247013172681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IFERROR(__xludf.DUMMYFUNCTION("IMPORTRANGE(""https://docs.google.com/spreadsheets/d/1Yj_ptqi66GCucihVvJfMjLAmec39IyEx_6qawtMGysU/edit?usp=sharing"",""สบก!V51"")"),772800)</f>
        <v>772800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IFERROR(__xludf.DUMMYFUNCTION("IMPORTRANGE(""https://docs.google.com/spreadsheets/d/1Yj_ptqi66GCucihVvJfMjLAmec39IyEx_6qawtMGysU/edit?usp=sharing"",""สบก!W51"")"),0)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IFERROR(__xludf.DUMMYFUNCTION("IMPORTRANGE(""https://docs.google.com/spreadsheets/d/1Yj_ptqi66GCucihVvJfMjLAmec39IyEx_6qawtMGysU/edit?usp=sharing"",""สบก!X51"")"),0)</f>
        <v>0</v>
      </c>
      <c r="M61" s="536"/>
      <c r="N61" s="533">
        <f ca="1">IFERROR(__xludf.DUMMYFUNCTION("IMPORTRANGE(""https://docs.google.com/spreadsheets/d/1Yj_ptqi66GCucihVvJfMjLAmec39IyEx_6qawtMGysU/edit?usp=sharing"",""สบก!AB51"")"),0)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325120</v>
      </c>
      <c r="N66" s="152">
        <f t="shared" ca="1" si="45"/>
        <v>118213</v>
      </c>
      <c r="O66" s="151">
        <f t="shared" ref="O66:O68" ca="1" si="46">IF(L66&gt;0,N66*100/L66,0)</f>
        <v>20.487521663778164</v>
      </c>
      <c r="P66" s="151">
        <f t="shared" ref="P66:P68" ca="1" si="47">IF(M66&gt;0,N66*100/M66,0)</f>
        <v>36.359805610236222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325120</v>
      </c>
      <c r="N68" s="157">
        <f t="shared" ca="1" si="49"/>
        <v>118213</v>
      </c>
      <c r="O68" s="156">
        <f t="shared" ca="1" si="46"/>
        <v>20.487521663778164</v>
      </c>
      <c r="P68" s="156">
        <f t="shared" ca="1" si="47"/>
        <v>36.359805610236222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577000</v>
      </c>
      <c r="M70" s="537">
        <f ca="1">IFERROR(__xludf.DUMMYFUNCTION("IMPORTRANGE(""https://docs.google.com/spreadsheets/d/1Yj_ptqi66GCucihVvJfMjLAmec39IyEx_6qawtMGysU/edit?usp=sharing"",""สบก!AI51"")"),325120)</f>
        <v>325120</v>
      </c>
      <c r="N70" s="538">
        <f ca="1">IFERROR(__xludf.DUMMYFUNCTION("IMPORTRANGE(""https://docs.google.com/spreadsheets/d/1Yj_ptqi66GCucihVvJfMjLAmec39IyEx_6qawtMGysU/edit?usp=sharing"",""สบก!AJ51"")"),118213)</f>
        <v>118213</v>
      </c>
      <c r="O70" s="170">
        <f ca="1">IF(L70&gt;0,N70*100/L70,0)</f>
        <v>20.487521663778164</v>
      </c>
      <c r="P70" s="170">
        <f ca="1">IF(M70&gt;0,N70*100/M70,0)</f>
        <v>36.359805610236222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IFERROR(__xludf.DUMMYFUNCTION("IMPORTRANGE(""https://docs.google.com/spreadsheets/d/1Yj_ptqi66GCucihVvJfMjLAmec39IyEx_6qawtMGysU/edit?usp=sharing"",""สบก!AE51"")"),205000)</f>
        <v>205000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IFERROR(__xludf.DUMMYFUNCTION("IMPORTRANGE(""https://docs.google.com/spreadsheets/d/1Yj_ptqi66GCucihVvJfMjLAmec39IyEx_6qawtMGysU/edit?usp=sharing"",""สบก!AF51"")"),372000)</f>
        <v>372000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IFERROR(__xludf.DUMMYFUNCTION("IMPORTRANGE(""https://docs.google.com/spreadsheets/d/1Yj_ptqi66GCucihVvJfMjLAmec39IyEx_6qawtMGysU/edit?usp=sharing"",""สบก!AG51"")"),0)</f>
        <v>0</v>
      </c>
      <c r="M74" s="536"/>
      <c r="N74" s="533">
        <f ca="1">IFERROR(__xludf.DUMMYFUNCTION("IMPORTRANGE(""https://docs.google.com/spreadsheets/d/1Yj_ptqi66GCucihVvJfMjLAmec39IyEx_6qawtMGysU/edit?usp=sharing"",""สบก!AK51"")"),0)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IFERROR(__xludf.DUMMYFUNCTION("IMPORTRANGE(""https://docs.google.com/spreadsheets/d/1XL5vhW3sbDhbH9Cz0tuDiY8C3ctxq1tqvaCgkFb8cCA/edit?usp=sharing"",""สกลนคร!J16"")"),0)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IFERROR(__xludf.DUMMYFUNCTION("IMPORTRANGE(""https://docs.google.com/spreadsheets/d/1XL5vhW3sbDhbH9Cz0tuDiY8C3ctxq1tqvaCgkFb8cCA/edit?usp=sharing"",""สกลนคร!J17"")"),1)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IFERROR(__xludf.DUMMYFUNCTION("IMPORTRANGE(""https://docs.google.com/spreadsheets/d/1XL5vhW3sbDhbH9Cz0tuDiY8C3ctxq1tqvaCgkFb8cCA/edit?usp=sharing"",""สกลนคร!J18"")"),1)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IFERROR(__xludf.DUMMYFUNCTION("IMPORTRANGE(""https://docs.google.com/spreadsheets/d/1XL5vhW3sbDhbH9Cz0tuDiY8C3ctxq1tqvaCgkFb8cCA/edit?usp=sharing"",""สกลนคร!J19"")"),1)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IFERROR(__xludf.DUMMYFUNCTION("IMPORTRANGE(""https://docs.google.com/spreadsheets/d/1XL5vhW3sbDhbH9Cz0tuDiY8C3ctxq1tqvaCgkFb8cCA/edit?usp=sharing"",""สกลนคร!I20"")"),1)</f>
        <v>1</v>
      </c>
      <c r="J80" s="202">
        <f ca="1">IFERROR(__xludf.DUMMYFUNCTION("IMPORTRANGE(""https://docs.google.com/spreadsheets/d/1XL5vhW3sbDhbH9Cz0tuDiY8C3ctxq1tqvaCgkFb8cCA/edit?usp=sharing"",""สกลนคร!J20"")"),1)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IFERROR(__xludf.DUMMYFUNCTION("IMPORTRANGE(""https://docs.google.com/spreadsheets/d/1XL5vhW3sbDhbH9Cz0tuDiY8C3ctxq1tqvaCgkFb8cCA/edit?usp=sharing"",""สกลนคร!I21"")"),30)</f>
        <v>30</v>
      </c>
      <c r="J81" s="202">
        <f ca="1">IFERROR(__xludf.DUMMYFUNCTION("IMPORTRANGE(""https://docs.google.com/spreadsheets/d/1XL5vhW3sbDhbH9Cz0tuDiY8C3ctxq1tqvaCgkFb8cCA/edit?usp=sharing"",""สกลนคร!J21"")"),30)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IFERROR(__xludf.DUMMYFUNCTION("IMPORTRANGE(""https://docs.google.com/spreadsheets/d/1XL5vhW3sbDhbH9Cz0tuDiY8C3ctxq1tqvaCgkFb8cCA/edit?usp=sharing"",""สกลนคร!I22"")"),0)</f>
        <v>0</v>
      </c>
      <c r="J82" s="205">
        <f ca="1">IFERROR(__xludf.DUMMYFUNCTION("IMPORTRANGE(""https://docs.google.com/spreadsheets/d/1XL5vhW3sbDhbH9Cz0tuDiY8C3ctxq1tqvaCgkFb8cCA/edit?usp=sharing"",""สกลนคร!J22"")"),0)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IFERROR(__xludf.DUMMYFUNCTION("IMPORTRANGE(""https://docs.google.com/spreadsheets/d/1XL5vhW3sbDhbH9Cz0tuDiY8C3ctxq1tqvaCgkFb8cCA/edit?usp=sharing"",""สกลนคร!I23"")"),0)</f>
        <v>0</v>
      </c>
      <c r="J83" s="205">
        <f ca="1">IFERROR(__xludf.DUMMYFUNCTION("IMPORTRANGE(""https://docs.google.com/spreadsheets/d/1XL5vhW3sbDhbH9Cz0tuDiY8C3ctxq1tqvaCgkFb8cCA/edit?usp=sharing"",""สกลนคร!J23"")"),0)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IFERROR(__xludf.DUMMYFUNCTION("IMPORTRANGE(""https://docs.google.com/spreadsheets/d/1XL5vhW3sbDhbH9Cz0tuDiY8C3ctxq1tqvaCgkFb8cCA/edit?usp=sharing"",""สกลนคร!I24"")"),1)</f>
        <v>1</v>
      </c>
      <c r="J84" s="190">
        <f ca="1">IFERROR(__xludf.DUMMYFUNCTION("IMPORTRANGE(""https://docs.google.com/spreadsheets/d/1XL5vhW3sbDhbH9Cz0tuDiY8C3ctxq1tqvaCgkFb8cCA/edit?usp=sharing"",""สกลนคร!J24"")"),1)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IFERROR(__xludf.DUMMYFUNCTION("IMPORTRANGE(""https://docs.google.com/spreadsheets/d/1XL5vhW3sbDhbH9Cz0tuDiY8C3ctxq1tqvaCgkFb8cCA/edit?usp=sharing"",""สกลนคร!I25"")"),30)</f>
        <v>30</v>
      </c>
      <c r="J85" s="190">
        <f ca="1">IFERROR(__xludf.DUMMYFUNCTION("IMPORTRANGE(""https://docs.google.com/spreadsheets/d/1XL5vhW3sbDhbH9Cz0tuDiY8C3ctxq1tqvaCgkFb8cCA/edit?usp=sharing"",""สกลนคร!J25"")"),30)</f>
        <v>30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IFERROR(__xludf.DUMMYFUNCTION("IMPORTRANGE(""https://docs.google.com/spreadsheets/d/1XL5vhW3sbDhbH9Cz0tuDiY8C3ctxq1tqvaCgkFb8cCA/edit?usp=sharing"",""สกลนคร!I26"")"),0)</f>
        <v>0</v>
      </c>
      <c r="J86" s="205">
        <f ca="1">IFERROR(__xludf.DUMMYFUNCTION("IMPORTRANGE(""https://docs.google.com/spreadsheets/d/1XL5vhW3sbDhbH9Cz0tuDiY8C3ctxq1tqvaCgkFb8cCA/edit?usp=sharing"",""สกลนคร!J26"")"),0)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IFERROR(__xludf.DUMMYFUNCTION("IMPORTRANGE(""https://docs.google.com/spreadsheets/d/1XL5vhW3sbDhbH9Cz0tuDiY8C3ctxq1tqvaCgkFb8cCA/edit?usp=sharing"",""สกลนคร!I27"")"),0)</f>
        <v>0</v>
      </c>
      <c r="J87" s="205">
        <f ca="1">IFERROR(__xludf.DUMMYFUNCTION("IMPORTRANGE(""https://docs.google.com/spreadsheets/d/1XL5vhW3sbDhbH9Cz0tuDiY8C3ctxq1tqvaCgkFb8cCA/edit?usp=sharing"",""สกลนคร!J27"")"),0)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IFERROR(__xludf.DUMMYFUNCTION("IMPORTRANGE(""https://docs.google.com/spreadsheets/d/1XL5vhW3sbDhbH9Cz0tuDiY8C3ctxq1tqvaCgkFb8cCA/edit?usp=sharing"",""สกลนคร!I28"")"),0)</f>
        <v>0</v>
      </c>
      <c r="J88" s="205">
        <f ca="1">IFERROR(__xludf.DUMMYFUNCTION("IMPORTRANGE(""https://docs.google.com/spreadsheets/d/1XL5vhW3sbDhbH9Cz0tuDiY8C3ctxq1tqvaCgkFb8cCA/edit?usp=sharing"",""สกลนคร!J28"")"),0)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IFERROR(__xludf.DUMMYFUNCTION("IMPORTRANGE(""https://docs.google.com/spreadsheets/d/1XL5vhW3sbDhbH9Cz0tuDiY8C3ctxq1tqvaCgkFb8cCA/edit?usp=sharing"",""สกลนคร!J29"")"),0)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214100</v>
      </c>
      <c r="M94" s="152">
        <f t="shared" ca="1" si="52"/>
        <v>160730</v>
      </c>
      <c r="N94" s="152">
        <f t="shared" ca="1" si="52"/>
        <v>112470</v>
      </c>
      <c r="O94" s="151">
        <f t="shared" ref="O94:O96" ca="1" si="53">IF(L94&gt;0,N94*100/L94,0)</f>
        <v>52.531527323680521</v>
      </c>
      <c r="P94" s="151">
        <f t="shared" ref="P94:P96" ca="1" si="54">IF(M94&gt;0,N94*100/M94,0)</f>
        <v>69.974491383064773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214100</v>
      </c>
      <c r="M96" s="157">
        <f t="shared" ca="1" si="56"/>
        <v>160730</v>
      </c>
      <c r="N96" s="157">
        <f t="shared" ca="1" si="56"/>
        <v>112470</v>
      </c>
      <c r="O96" s="156">
        <f t="shared" ca="1" si="53"/>
        <v>52.531527323680521</v>
      </c>
      <c r="P96" s="156">
        <f t="shared" ca="1" si="54"/>
        <v>69.974491383064773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IFERROR(__xludf.DUMMYFUNCTION("IMPORTRANGE(""https://docs.google.com/spreadsheets/d/1Yj_ptqi66GCucihVvJfMjLAmec39IyEx_6qawtMGysU/edit?usp=sharing"",""สบก!AR51"")"),68730)</f>
        <v>68730</v>
      </c>
      <c r="N98" s="538">
        <f ca="1">IFERROR(__xludf.DUMMYFUNCTION("IMPORTRANGE(""https://docs.google.com/spreadsheets/d/1Yj_ptqi66GCucihVvJfMjLAmec39IyEx_6qawtMGysU/edit?usp=sharing"",""สบก!AS51"")"),20470)</f>
        <v>20470</v>
      </c>
      <c r="O98" s="170">
        <f ca="1">IF(L98&gt;0,N98*100/L98,0)</f>
        <v>16.764946764946764</v>
      </c>
      <c r="P98" s="170">
        <f ca="1">IF(M98&gt;0,N98*100/M98,0)</f>
        <v>29.783209660992288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IFERROR(__xludf.DUMMYFUNCTION("IMPORTRANGE(""https://docs.google.com/spreadsheets/d/1Yj_ptqi66GCucihVvJfMjLAmec39IyEx_6qawtMGysU/edit?usp=sharing"",""สบก!AN51"")"),0)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IFERROR(__xludf.DUMMYFUNCTION("IMPORTRANGE(""https://docs.google.com/spreadsheets/d/1Yj_ptqi66GCucihVvJfMjLAmec39IyEx_6qawtMGysU/edit?usp=sharing"",""สบก!AO51"")"),122100)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IFERROR(__xludf.DUMMYFUNCTION("IMPORTRANGE(""https://docs.google.com/spreadsheets/d/1Yj_ptqi66GCucihVvJfMjLAmec39IyEx_6qawtMGysU/edit?usp=sharing"",""สบก!AP51"")"),92000)</f>
        <v>92000</v>
      </c>
      <c r="M102" s="536">
        <f ca="1">L102</f>
        <v>92000</v>
      </c>
      <c r="N102" s="533">
        <f ca="1">IFERROR(__xludf.DUMMYFUNCTION("IMPORTRANGE(""https://docs.google.com/spreadsheets/d/1Yj_ptqi66GCucihVvJfMjLAmec39IyEx_6qawtMGysU/edit?usp=sharing"",""สบก!AT51"")"),92000)</f>
        <v>92000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IFERROR(__xludf.DUMMYFUNCTION("IMPORTRANGE(""https://docs.google.com/spreadsheets/d/1XL5vhW3sbDhbH9Cz0tuDiY8C3ctxq1tqvaCgkFb8cCA/edit?usp=sharing"",""สกลนคร!I43"")"),1)</f>
        <v>1</v>
      </c>
      <c r="J108" s="205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IFERROR(__xludf.DUMMYFUNCTION("IMPORTRANGE(""https://docs.google.com/spreadsheets/d/1XL5vhW3sbDhbH9Cz0tuDiY8C3ctxq1tqvaCgkFb8cCA/edit?usp=sharing"",""สกลนคร!I44"")"),4)</f>
        <v>4</v>
      </c>
      <c r="J109" s="205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IFERROR(__xludf.DUMMYFUNCTION("IMPORTRANGE(""https://docs.google.com/spreadsheets/d/1XL5vhW3sbDhbH9Cz0tuDiY8C3ctxq1tqvaCgkFb8cCA/edit?usp=sharing"",""สกลนคร!I45"")"),4)</f>
        <v>4</v>
      </c>
      <c r="J110" s="205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IFERROR(__xludf.DUMMYFUNCTION("IMPORTRANGE(""https://docs.google.com/spreadsheets/d/1XL5vhW3sbDhbH9Cz0tuDiY8C3ctxq1tqvaCgkFb8cCA/edit?usp=sharing"",""สกลนคร!I46"")"),4)</f>
        <v>4</v>
      </c>
      <c r="J111" s="205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IFERROR(__xludf.DUMMYFUNCTION("IMPORTRANGE(""https://docs.google.com/spreadsheets/d/1XL5vhW3sbDhbH9Cz0tuDiY8C3ctxq1tqvaCgkFb8cCA/edit?usp=sharing"",""สกลนคร!I47"")"),4)</f>
        <v>4</v>
      </c>
      <c r="J112" s="205">
        <f ca="1">IFERROR(__xludf.DUMMYFUNCTION("IMPORTRANGE(""https://docs.google.com/spreadsheets/d/1XL5vhW3sbDhbH9Cz0tuDiY8C3ctxq1tqvaCgkFb8cCA/edit?usp=sharing"",""สกลนคร!J47"")"),0)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IFERROR(__xludf.DUMMYFUNCTION("IMPORTRANGE(""https://docs.google.com/spreadsheets/d/1XL5vhW3sbDhbH9Cz0tuDiY8C3ctxq1tqvaCgkFb8cCA/edit?usp=sharing"",""สกลนคร!I48"")"),1)</f>
        <v>1</v>
      </c>
      <c r="J113" s="205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IFERROR(__xludf.DUMMYFUNCTION("IMPORTRANGE(""https://docs.google.com/spreadsheets/d/1Yj_ptqi66GCucihVvJfMjLAmec39IyEx_6qawtMGysU/edit?usp=sharing"",""สบก!BA51"")"),0)</f>
        <v>0</v>
      </c>
      <c r="N122" s="538">
        <f ca="1">IFERROR(__xludf.DUMMYFUNCTION("IMPORTRANGE(""https://docs.google.com/spreadsheets/d/1Yj_ptqi66GCucihVvJfMjLAmec39IyEx_6qawtMGysU/edit?usp=sharing"",""สบก!BB51"")"),0)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IFERROR(__xludf.DUMMYFUNCTION("IMPORTRANGE(""https://docs.google.com/spreadsheets/d/1Yj_ptqi66GCucihVvJfMjLAmec39IyEx_6qawtMGysU/edit?usp=sharing"",""สบก!AW51"")"),0)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IFERROR(__xludf.DUMMYFUNCTION("IMPORTRANGE(""https://docs.google.com/spreadsheets/d/1Yj_ptqi66GCucihVvJfMjLAmec39IyEx_6qawtMGysU/edit?usp=sharing"",""สบก!AX51"")"),0)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IFERROR(__xludf.DUMMYFUNCTION("IMPORTRANGE(""https://docs.google.com/spreadsheets/d/1Yj_ptqi66GCucihVvJfMjLAmec39IyEx_6qawtMGysU/edit?usp=sharing"",""สบก!AY51"")"),0)</f>
        <v>0</v>
      </c>
      <c r="M126" s="536"/>
      <c r="N126" s="533">
        <f ca="1">IFERROR(__xludf.DUMMYFUNCTION("IMPORTRANGE(""https://docs.google.com/spreadsheets/d/1Yj_ptqi66GCucihVvJfMjLAmec39IyEx_6qawtMGysU/edit?usp=sharing"",""สบก!BC51"")"),0)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265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IFERROR(__xludf.DUMMYFUNCTION("IMPORTRANGE(""https://docs.google.com/spreadsheets/d/1XL5vhW3sbDhbH9Cz0tuDiY8C3ctxq1tqvaCgkFb8cCA/edit?usp=sharing"",""สกลนคร!I62"")"),0)</f>
        <v>0</v>
      </c>
      <c r="J132" s="205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IFERROR(__xludf.DUMMYFUNCTION("IMPORTRANGE(""https://docs.google.com/spreadsheets/d/1XL5vhW3sbDhbH9Cz0tuDiY8C3ctxq1tqvaCgkFb8cCA/edit?usp=sharing"",""สกลนคร!I63"")"),0)</f>
        <v>0</v>
      </c>
      <c r="J133" s="205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619500</v>
      </c>
      <c r="M140" s="152">
        <f t="shared" ca="1" si="64"/>
        <v>364150</v>
      </c>
      <c r="N140" s="152">
        <f t="shared" ca="1" si="64"/>
        <v>252346</v>
      </c>
      <c r="O140" s="151">
        <f t="shared" ref="O140:O142" ca="1" si="65">IF(L140&gt;0,N140*100/L140,0)</f>
        <v>40.733817594834541</v>
      </c>
      <c r="P140" s="151">
        <f t="shared" ref="P140:P142" ca="1" si="66">IF(M140&gt;0,N140*100/M140,0)</f>
        <v>69.297267609501574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619500</v>
      </c>
      <c r="M142" s="157">
        <f t="shared" ca="1" si="68"/>
        <v>364150</v>
      </c>
      <c r="N142" s="157">
        <f t="shared" ca="1" si="68"/>
        <v>252346</v>
      </c>
      <c r="O142" s="156">
        <f t="shared" ca="1" si="65"/>
        <v>40.733817594834541</v>
      </c>
      <c r="P142" s="156">
        <f t="shared" ca="1" si="66"/>
        <v>69.297267609501574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619500</v>
      </c>
      <c r="M144" s="537">
        <f ca="1">IFERROR(__xludf.DUMMYFUNCTION("IMPORTRANGE(""https://docs.google.com/spreadsheets/d/1Yj_ptqi66GCucihVvJfMjLAmec39IyEx_6qawtMGysU/edit?usp=sharing"",""สบก!BJ51"")"),364150)</f>
        <v>364150</v>
      </c>
      <c r="N144" s="538">
        <f ca="1">IFERROR(__xludf.DUMMYFUNCTION("IMPORTRANGE(""https://docs.google.com/spreadsheets/d/1Yj_ptqi66GCucihVvJfMjLAmec39IyEx_6qawtMGysU/edit?usp=sharing"",""สบก!BK51"")"),252346)</f>
        <v>252346</v>
      </c>
      <c r="O144" s="170">
        <f ca="1">IF(L144&gt;0,N144*100/L144,0)</f>
        <v>40.733817594834541</v>
      </c>
      <c r="P144" s="170">
        <f ca="1">IF(M144&gt;0,N144*100/M144,0)</f>
        <v>69.297267609501574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IFERROR(__xludf.DUMMYFUNCTION("IMPORTRANGE(""https://docs.google.com/spreadsheets/d/1Yj_ptqi66GCucihVvJfMjLAmec39IyEx_6qawtMGysU/edit?usp=sharing"",""สบก!BF51"")"),264000)</f>
        <v>264000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IFERROR(__xludf.DUMMYFUNCTION("IMPORTRANGE(""https://docs.google.com/spreadsheets/d/1Yj_ptqi66GCucihVvJfMjLAmec39IyEx_6qawtMGysU/edit?usp=sharing"",""สบก!BG51"")"),355500)</f>
        <v>355500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IFERROR(__xludf.DUMMYFUNCTION("IMPORTRANGE(""https://docs.google.com/spreadsheets/d/1Yj_ptqi66GCucihVvJfMjLAmec39IyEx_6qawtMGysU/edit?usp=sharing"",""สบก!BH51"")"),0)</f>
        <v>0</v>
      </c>
      <c r="M148" s="536"/>
      <c r="N148" s="533">
        <f ca="1">IFERROR(__xludf.DUMMYFUNCTION("IMPORTRANGE(""https://docs.google.com/spreadsheets/d/1Yj_ptqi66GCucihVvJfMjLAmec39IyEx_6qawtMGysU/edit?usp=sharing"",""สบก!BL51"")"),0)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IFERROR(__xludf.DUMMYFUNCTION("IMPORTRANGE(""https://docs.google.com/spreadsheets/d/1XL5vhW3sbDhbH9Cz0tuDiY8C3ctxq1tqvaCgkFb8cCA/edit?usp=sharing"",""สกลนคร!J79"")"),0)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IFERROR(__xludf.DUMMYFUNCTION("IMPORTRANGE(""https://docs.google.com/spreadsheets/d/1XL5vhW3sbDhbH9Cz0tuDiY8C3ctxq1tqvaCgkFb8cCA/edit?usp=sharing"",""สกลนคร!J80"")"),1)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IFERROR(__xludf.DUMMYFUNCTION("IMPORTRANGE(""https://docs.google.com/spreadsheets/d/1XL5vhW3sbDhbH9Cz0tuDiY8C3ctxq1tqvaCgkFb8cCA/edit?usp=sharing"",""สกลนคร!J81"")"),1)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IFERROR(__xludf.DUMMYFUNCTION("IMPORTRANGE(""https://docs.google.com/spreadsheets/d/1XL5vhW3sbDhbH9Cz0tuDiY8C3ctxq1tqvaCgkFb8cCA/edit?usp=sharing"",""สกลนคร!J82"")"),1)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IFERROR(__xludf.DUMMYFUNCTION("IMPORTRANGE(""https://docs.google.com/spreadsheets/d/1XL5vhW3sbDhbH9Cz0tuDiY8C3ctxq1tqvaCgkFb8cCA/edit?usp=sharing"",""สกลนคร!I83"")"),4)</f>
        <v>4</v>
      </c>
      <c r="J158" s="190">
        <f ca="1">IFERROR(__xludf.DUMMYFUNCTION("IMPORTRANGE(""https://docs.google.com/spreadsheets/d/1XL5vhW3sbDhbH9Cz0tuDiY8C3ctxq1tqvaCgkFb8cCA/edit?usp=sharing"",""สกลนคร!J83"")"),2)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IFERROR(__xludf.DUMMYFUNCTION("IMPORTRANGE(""https://docs.google.com/spreadsheets/d/1XL5vhW3sbDhbH9Cz0tuDiY8C3ctxq1tqvaCgkFb8cCA/edit?usp=sharing"",""สกลนคร!J84"")"),150)</f>
        <v>150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IFERROR(__xludf.DUMMYFUNCTION("IMPORTRANGE(""https://docs.google.com/spreadsheets/d/1XL5vhW3sbDhbH9Cz0tuDiY8C3ctxq1tqvaCgkFb8cCA/edit?usp=sharing"",""สกลนคร!J85"")"),150)</f>
        <v>150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IFERROR(__xludf.DUMMYFUNCTION("IMPORTRANGE(""https://docs.google.com/spreadsheets/d/1XL5vhW3sbDhbH9Cz0tuDiY8C3ctxq1tqvaCgkFb8cCA/edit?usp=sharing"",""สกลนคร!J86"")"),0)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IFERROR(__xludf.DUMMYFUNCTION("IMPORTRANGE(""https://docs.google.com/spreadsheets/d/1XL5vhW3sbDhbH9Cz0tuDiY8C3ctxq1tqvaCgkFb8cCA/edit?usp=sharing"",""สกลนคร!J87"")"),0)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IFERROR(__xludf.DUMMYFUNCTION("IMPORTRANGE(""https://docs.google.com/spreadsheets/d/1XL5vhW3sbDhbH9Cz0tuDiY8C3ctxq1tqvaCgkFb8cCA/edit?usp=sharing"",""สกลนคร!I89"")"),3)</f>
        <v>3</v>
      </c>
      <c r="J164" s="284">
        <f ca="1">IFERROR(__xludf.DUMMYFUNCTION("IMPORTRANGE(""https://docs.google.com/spreadsheets/d/1XL5vhW3sbDhbH9Cz0tuDiY8C3ctxq1tqvaCgkFb8cCA/edit?usp=sharing"",""สกลนคร!J89"")"),2)</f>
        <v>2</v>
      </c>
      <c r="K164" s="285">
        <f ca="1">IF(I164&gt;0,J164*100/I164,0)</f>
        <v>66.666666666666671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IFERROR(__xludf.DUMMYFUNCTION("IMPORTRANGE(""https://docs.google.com/spreadsheets/d/1XL5vhW3sbDhbH9Cz0tuDiY8C3ctxq1tqvaCgkFb8cCA/edit?usp=sharing"",""สกลนคร!J94"")"),0)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IFERROR(__xludf.DUMMYFUNCTION("IMPORTRANGE(""https://docs.google.com/spreadsheets/d/1XL5vhW3sbDhbH9Cz0tuDiY8C3ctxq1tqvaCgkFb8cCA/edit?usp=sharing"",""สกลนคร!J95"")"),1)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IFERROR(__xludf.DUMMYFUNCTION("IMPORTRANGE(""https://docs.google.com/spreadsheets/d/1XL5vhW3sbDhbH9Cz0tuDiY8C3ctxq1tqvaCgkFb8cCA/edit?usp=sharing"",""สกลนคร!J96"")"),1)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IFERROR(__xludf.DUMMYFUNCTION("IMPORTRANGE(""https://docs.google.com/spreadsheets/d/1XL5vhW3sbDhbH9Cz0tuDiY8C3ctxq1tqvaCgkFb8cCA/edit?usp=sharing"",""สกลนคร!J97"")"),1)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IFERROR(__xludf.DUMMYFUNCTION("IMPORTRANGE(""https://docs.google.com/spreadsheets/d/1XL5vhW3sbDhbH9Cz0tuDiY8C3ctxq1tqvaCgkFb8cCA/edit?usp=sharing"",""สกลนคร!I98"")"),3)</f>
        <v>3</v>
      </c>
      <c r="J173" s="190">
        <f ca="1">IFERROR(__xludf.DUMMYFUNCTION("IMPORTRANGE(""https://docs.google.com/spreadsheets/d/1XL5vhW3sbDhbH9Cz0tuDiY8C3ctxq1tqvaCgkFb8cCA/edit?usp=sharing"",""สกลนคร!J98"")"),2)</f>
        <v>2</v>
      </c>
      <c r="K173" s="165">
        <f ca="1">IF(I173&gt;0,J173*100/I173,0)</f>
        <v>66.666666666666671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IFERROR(__xludf.DUMMYFUNCTION("IMPORTRANGE(""https://docs.google.com/spreadsheets/d/1XL5vhW3sbDhbH9Cz0tuDiY8C3ctxq1tqvaCgkFb8cCA/edit?usp=sharing"",""สกลนคร!J99"")"),0)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IFERROR(__xludf.DUMMYFUNCTION("IMPORTRANGE(""https://docs.google.com/spreadsheets/d/1XL5vhW3sbDhbH9Cz0tuDiY8C3ctxq1tqvaCgkFb8cCA/edit?usp=sharing"",""สกลนคร!I101"")"),0)</f>
        <v>0</v>
      </c>
      <c r="J176" s="284">
        <f ca="1">IFERROR(__xludf.DUMMYFUNCTION("IMPORTRANGE(""https://docs.google.com/spreadsheets/d/1XL5vhW3sbDhbH9Cz0tuDiY8C3ctxq1tqvaCgkFb8cCA/edit?usp=sharing"",""สกลนคร!J101"")"),0)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IFERROR(__xludf.DUMMYFUNCTION("IMPORTRANGE(""https://docs.google.com/spreadsheets/d/1XL5vhW3sbDhbH9Cz0tuDiY8C3ctxq1tqvaCgkFb8cCA/edit?usp=sharing"",""สกลนคร!I110"")"),0)</f>
        <v>0</v>
      </c>
      <c r="J185" s="205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IFERROR(__xludf.DUMMYFUNCTION("IMPORTRANGE(""https://docs.google.com/spreadsheets/d/1XL5vhW3sbDhbH9Cz0tuDiY8C3ctxq1tqvaCgkFb8cCA/edit?usp=sharing"",""สกลนคร!I111"")"),0)</f>
        <v>0</v>
      </c>
      <c r="J186" s="205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IFERROR(__xludf.DUMMYFUNCTION("IMPORTRANGE(""https://docs.google.com/spreadsheets/d/1XL5vhW3sbDhbH9Cz0tuDiY8C3ctxq1tqvaCgkFb8cCA/edit?usp=sharing"",""สกลนคร!I114"")"),12800)</f>
        <v>12800</v>
      </c>
      <c r="J189" s="284">
        <f ca="1">IFERROR(__xludf.DUMMYFUNCTION("IMPORTRANGE(""https://docs.google.com/spreadsheets/d/1XL5vhW3sbDhbH9Cz0tuDiY8C3ctxq1tqvaCgkFb8cCA/edit?usp=sharing"",""สกลนคร!J114"")"),0)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IFERROR(__xludf.DUMMYFUNCTION("IMPORTRANGE(""https://docs.google.com/spreadsheets/d/1XL5vhW3sbDhbH9Cz0tuDiY8C3ctxq1tqvaCgkFb8cCA/edit?usp=sharing"",""สกลนคร!J119"")"),0)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IFERROR(__xludf.DUMMYFUNCTION("IMPORTRANGE(""https://docs.google.com/spreadsheets/d/1XL5vhW3sbDhbH9Cz0tuDiY8C3ctxq1tqvaCgkFb8cCA/edit?usp=sharing"",""สกลนคร!J120"")"),1)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IFERROR(__xludf.DUMMYFUNCTION("IMPORTRANGE(""https://docs.google.com/spreadsheets/d/1XL5vhW3sbDhbH9Cz0tuDiY8C3ctxq1tqvaCgkFb8cCA/edit?usp=sharing"",""สกลนคร!J121"")"),1)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IFERROR(__xludf.DUMMYFUNCTION("IMPORTRANGE(""https://docs.google.com/spreadsheets/d/1XL5vhW3sbDhbH9Cz0tuDiY8C3ctxq1tqvaCgkFb8cCA/edit?usp=sharing"",""สกลนคร!J122"")"),1)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IFERROR(__xludf.DUMMYFUNCTION("IMPORTRANGE(""https://docs.google.com/spreadsheets/d/1XL5vhW3sbDhbH9Cz0tuDiY8C3ctxq1tqvaCgkFb8cCA/edit?usp=sharing"",""สกลนคร!I124"")"),12800)</f>
        <v>12800</v>
      </c>
      <c r="J199" s="190">
        <f ca="1">IFERROR(__xludf.DUMMYFUNCTION("IMPORTRANGE(""https://docs.google.com/spreadsheets/d/1XL5vhW3sbDhbH9Cz0tuDiY8C3ctxq1tqvaCgkFb8cCA/edit?usp=sharing"",""สกลนคร!J124"")"),12800)</f>
        <v>12800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IFERROR(__xludf.DUMMYFUNCTION("IMPORTRANGE(""https://docs.google.com/spreadsheets/d/1XL5vhW3sbDhbH9Cz0tuDiY8C3ctxq1tqvaCgkFb8cCA/edit?usp=sharing"",""สกลนคร!I125"")"),12800)</f>
        <v>12800</v>
      </c>
      <c r="J200" s="190">
        <f ca="1">IFERROR(__xludf.DUMMYFUNCTION("IMPORTRANGE(""https://docs.google.com/spreadsheets/d/1XL5vhW3sbDhbH9Cz0tuDiY8C3ctxq1tqvaCgkFb8cCA/edit?usp=sharing"",""สกลนคร!J125"")"),0)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IFERROR(__xludf.DUMMYFUNCTION("IMPORTRANGE(""https://docs.google.com/spreadsheets/d/1XL5vhW3sbDhbH9Cz0tuDiY8C3ctxq1tqvaCgkFb8cCA/edit?usp=sharing"",""สกลนคร!I126"")"),0)</f>
        <v>0</v>
      </c>
      <c r="J201" s="190">
        <f ca="1">IFERROR(__xludf.DUMMYFUNCTION("IMPORTRANGE(""https://docs.google.com/spreadsheets/d/1XL5vhW3sbDhbH9Cz0tuDiY8C3ctxq1tqvaCgkFb8cCA/edit?usp=sharing"",""สกลนคร!J126"")"),0)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IFERROR(__xludf.DUMMYFUNCTION("IMPORTRANGE(""https://docs.google.com/spreadsheets/d/1XL5vhW3sbDhbH9Cz0tuDiY8C3ctxq1tqvaCgkFb8cCA/edit?usp=sharing"",""สกลนคร!J127"")"),0)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IFERROR(__xludf.DUMMYFUNCTION("IMPORTRANGE(""https://docs.google.com/spreadsheets/d/1XL5vhW3sbDhbH9Cz0tuDiY8C3ctxq1tqvaCgkFb8cCA/edit?usp=sharing"",""สกลนคร!J128"")"),0)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IFERROR(__xludf.DUMMYFUNCTION("IMPORTRANGE(""https://docs.google.com/spreadsheets/d/1XL5vhW3sbDhbH9Cz0tuDiY8C3ctxq1tqvaCgkFb8cCA/edit?usp=sharing"",""สกลนคร!I129"")"),50)</f>
        <v>50</v>
      </c>
      <c r="J204" s="284">
        <f ca="1">IFERROR(__xludf.DUMMYFUNCTION("IMPORTRANGE(""https://docs.google.com/spreadsheets/d/1XL5vhW3sbDhbH9Cz0tuDiY8C3ctxq1tqvaCgkFb8cCA/edit?usp=sharing"",""สกลนคร!J129"")"),50)</f>
        <v>50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IFERROR(__xludf.DUMMYFUNCTION("IMPORTRANGE(""https://docs.google.com/spreadsheets/d/1XL5vhW3sbDhbH9Cz0tuDiY8C3ctxq1tqvaCgkFb8cCA/edit?usp=sharing"",""สกลนคร!I138"")"),50)</f>
        <v>50</v>
      </c>
      <c r="J213" s="205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IFERROR(__xludf.DUMMYFUNCTION("IMPORTRANGE(""https://docs.google.com/spreadsheets/d/1XL5vhW3sbDhbH9Cz0tuDiY8C3ctxq1tqvaCgkFb8cCA/edit?usp=sharing"",""สกลนคร!I140"")"),50)</f>
        <v>50</v>
      </c>
      <c r="J215" s="205">
        <f ca="1">IFERROR(__xludf.DUMMYFUNCTION("IMPORTRANGE(""https://docs.google.com/spreadsheets/d/1XL5vhW3sbDhbH9Cz0tuDiY8C3ctxq1tqvaCgkFb8cCA/edit?usp=sharing"",""สกลนคร!J140"")"),0)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IFERROR(__xludf.DUMMYFUNCTION("IMPORTRANGE(""https://docs.google.com/spreadsheets/d/1XL5vhW3sbDhbH9Cz0tuDiY8C3ctxq1tqvaCgkFb8cCA/edit?usp=sharing"",""สกลนคร!I141"")"),1)</f>
        <v>1</v>
      </c>
      <c r="J216" s="205">
        <f ca="1">IFERROR(__xludf.DUMMYFUNCTION("IMPORTRANGE(""https://docs.google.com/spreadsheets/d/1XL5vhW3sbDhbH9Cz0tuDiY8C3ctxq1tqvaCgkFb8cCA/edit?usp=sharing"",""สกลนคร!J141"")"),0)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IFERROR(__xludf.DUMMYFUNCTION("IMPORTRANGE(""https://docs.google.com/spreadsheets/d/1Yj_ptqi66GCucihVvJfMjLAmec39IyEx_6qawtMGysU/edit?usp=sharing"",""สบก!BS51"")"),20210)</f>
        <v>20210</v>
      </c>
      <c r="N224" s="538">
        <f ca="1">IFERROR(__xludf.DUMMYFUNCTION("IMPORTRANGE(""https://docs.google.com/spreadsheets/d/1Yj_ptqi66GCucihVvJfMjLAmec39IyEx_6qawtMGysU/edit?usp=sharing"",""สบก!BT51"")"),20210)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IFERROR(__xludf.DUMMYFUNCTION("IMPORTRANGE(""https://docs.google.com/spreadsheets/d/1Yj_ptqi66GCucihVvJfMjLAmec39IyEx_6qawtMGysU/edit?usp=sharing"",""สบก!BO51"")"),0)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IFERROR(__xludf.DUMMYFUNCTION("IMPORTRANGE(""https://docs.google.com/spreadsheets/d/1Yj_ptqi66GCucihVvJfMjLAmec39IyEx_6qawtMGysU/edit?usp=sharing"",""สบก!BP51"")"),20210)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IFERROR(__xludf.DUMMYFUNCTION("IMPORTRANGE(""https://docs.google.com/spreadsheets/d/1Yj_ptqi66GCucihVvJfMjLAmec39IyEx_6qawtMGysU/edit?usp=sharing"",""สบก!BQ51"")"),0)</f>
        <v>0</v>
      </c>
      <c r="M228" s="536"/>
      <c r="N228" s="533">
        <f ca="1">IFERROR(__xludf.DUMMYFUNCTION("IMPORTRANGE(""https://docs.google.com/spreadsheets/d/1Yj_ptqi66GCucihVvJfMjLAmec39IyEx_6qawtMGysU/edit?usp=sharing"",""สบก!BU51"")"),0)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IFERROR(__xludf.DUMMYFUNCTION("IMPORTRANGE(""https://docs.google.com/spreadsheets/d/1XL5vhW3sbDhbH9Cz0tuDiY8C3ctxq1tqvaCgkFb8cCA/edit?usp=sharing"",""สกลนคร!J151"")"),0)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IFERROR(__xludf.DUMMYFUNCTION("IMPORTRANGE(""https://docs.google.com/spreadsheets/d/1XL5vhW3sbDhbH9Cz0tuDiY8C3ctxq1tqvaCgkFb8cCA/edit?usp=sharing"",""สกลนคร!J152"")"),1)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IFERROR(__xludf.DUMMYFUNCTION("IMPORTRANGE(""https://docs.google.com/spreadsheets/d/1XL5vhW3sbDhbH9Cz0tuDiY8C3ctxq1tqvaCgkFb8cCA/edit?usp=sharing"",""สกลนคร!J153"")"),1)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IFERROR(__xludf.DUMMYFUNCTION("IMPORTRANGE(""https://docs.google.com/spreadsheets/d/1XL5vhW3sbDhbH9Cz0tuDiY8C3ctxq1tqvaCgkFb8cCA/edit?usp=sharing"",""สกลนคร!J154"")"),1)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IFERROR(__xludf.DUMMYFUNCTION("IMPORTRANGE(""https://docs.google.com/spreadsheets/d/1XL5vhW3sbDhbH9Cz0tuDiY8C3ctxq1tqvaCgkFb8cCA/edit?usp=sharing"",""สกลนคร!I155"")"),14)</f>
        <v>14</v>
      </c>
      <c r="J235" s="190">
        <f ca="1">IFERROR(__xludf.DUMMYFUNCTION("IMPORTRANGE(""https://docs.google.com/spreadsheets/d/1XL5vhW3sbDhbH9Cz0tuDiY8C3ctxq1tqvaCgkFb8cCA/edit?usp=sharing"",""สกลนคร!J155"")"),14)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IFERROR(__xludf.DUMMYFUNCTION("IMPORTRANGE(""https://docs.google.com/spreadsheets/d/1XL5vhW3sbDhbH9Cz0tuDiY8C3ctxq1tqvaCgkFb8cCA/edit?usp=sharing"",""สกลนคร!J156"")"),0)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IFERROR(__xludf.DUMMYFUNCTION("IMPORTRANGE(""https://docs.google.com/spreadsheets/d/1XL5vhW3sbDhbH9Cz0tuDiY8C3ctxq1tqvaCgkFb8cCA/edit?usp=sharing"",""สกลนคร!J159"")"),"")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IFERROR(__xludf.DUMMYFUNCTION("IMPORTRANGE(""https://docs.google.com/spreadsheets/d/1XL5vhW3sbDhbH9Cz0tuDiY8C3ctxq1tqvaCgkFb8cCA/edit?usp=sharing"",""สกลนคร!J161"")"),0)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IFERROR(__xludf.DUMMYFUNCTION("IMPORTRANGE(""https://docs.google.com/spreadsheets/d/1XL5vhW3sbDhbH9Cz0tuDiY8C3ctxq1tqvaCgkFb8cCA/edit?usp=sharing"",""สกลนคร!J162"")"),0)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IFERROR(__xludf.DUMMYFUNCTION("IMPORTRANGE(""https://docs.google.com/spreadsheets/d/1XL5vhW3sbDhbH9Cz0tuDiY8C3ctxq1tqvaCgkFb8cCA/edit?usp=sharing"",""สกลนคร!J163"")"),0)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IFERROR(__xludf.DUMMYFUNCTION("IMPORTRANGE(""https://docs.google.com/spreadsheets/d/1XL5vhW3sbDhbH9Cz0tuDiY8C3ctxq1tqvaCgkFb8cCA/edit?usp=sharing"",""สกลนคร!I164"")"),0)</f>
        <v>0</v>
      </c>
      <c r="J244" s="189">
        <f ca="1">IFERROR(__xludf.DUMMYFUNCTION("IMPORTRANGE(""https://docs.google.com/spreadsheets/d/1XL5vhW3sbDhbH9Cz0tuDiY8C3ctxq1tqvaCgkFb8cCA/edit?usp=sharing"",""สกลนคร!J164"")"),0)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IFERROR(__xludf.DUMMYFUNCTION("IMPORTRANGE(""https://docs.google.com/spreadsheets/d/1XL5vhW3sbDhbH9Cz0tuDiY8C3ctxq1tqvaCgkFb8cCA/edit?usp=sharing"",""สกลนคร!J165"")"),0)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IFERROR(__xludf.DUMMYFUNCTION("IMPORTRANGE(""https://docs.google.com/spreadsheets/d/1XL5vhW3sbDhbH9Cz0tuDiY8C3ctxq1tqvaCgkFb8cCA/edit?usp=sharing"",""สกลนคร!I169"")"),25)</f>
        <v>25</v>
      </c>
      <c r="J249" s="316">
        <f ca="1">IFERROR(__xludf.DUMMYFUNCTION("IMPORTRANGE(""https://docs.google.com/spreadsheets/d/1XL5vhW3sbDhbH9Cz0tuDiY8C3ctxq1tqvaCgkFb8cCA/edit?usp=sharing"",""สกลนคร!J169"")"),13)</f>
        <v>13</v>
      </c>
      <c r="K249" s="317">
        <f ca="1">IF(I249&gt;0,J249*100/I249,0)</f>
        <v>52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42225</v>
      </c>
      <c r="O250" s="151">
        <f t="shared" ref="O250:O252" ca="1" si="78">IF(L250&gt;0,N250*100/L250,0)</f>
        <v>47.443820224719104</v>
      </c>
      <c r="P250" s="151">
        <f t="shared" ref="P250:P252" ca="1" si="79">IF(M250&gt;0,N250*100/M250,0)</f>
        <v>99.352941176470594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42225</v>
      </c>
      <c r="O252" s="156">
        <f t="shared" ca="1" si="78"/>
        <v>47.443820224719104</v>
      </c>
      <c r="P252" s="156">
        <f t="shared" ca="1" si="79"/>
        <v>99.352941176470594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IFERROR(__xludf.DUMMYFUNCTION("IMPORTRANGE(""https://docs.google.com/spreadsheets/d/1Yj_ptqi66GCucihVvJfMjLAmec39IyEx_6qawtMGysU/edit?usp=sharing"",""สบก!CB51"")"),42500)</f>
        <v>42500</v>
      </c>
      <c r="N254" s="538">
        <f ca="1">IFERROR(__xludf.DUMMYFUNCTION("IMPORTRANGE(""https://docs.google.com/spreadsheets/d/1Yj_ptqi66GCucihVvJfMjLAmec39IyEx_6qawtMGysU/edit?usp=sharing"",""สบก!CC51"")"),42225)</f>
        <v>42225</v>
      </c>
      <c r="O254" s="170">
        <f ca="1">IF(L254&gt;0,N254*100/L254,0)</f>
        <v>47.443820224719104</v>
      </c>
      <c r="P254" s="170">
        <f ca="1">IF(M254&gt;0,N254*100/M254,0)</f>
        <v>99.352941176470594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IFERROR(__xludf.DUMMYFUNCTION("IMPORTRANGE(""https://docs.google.com/spreadsheets/d/1Yj_ptqi66GCucihVvJfMjLAmec39IyEx_6qawtMGysU/edit?usp=sharing"",""สบก!BX51"")"),0)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IFERROR(__xludf.DUMMYFUNCTION("IMPORTRANGE(""https://docs.google.com/spreadsheets/d/1Yj_ptqi66GCucihVvJfMjLAmec39IyEx_6qawtMGysU/edit?usp=sharing"",""สบก!BY51"")"),89000)</f>
        <v>89000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IFERROR(__xludf.DUMMYFUNCTION("IMPORTRANGE(""https://docs.google.com/spreadsheets/d/1Yj_ptqi66GCucihVvJfMjLAmec39IyEx_6qawtMGysU/edit?usp=sharing"",""สบก!BZ51"")"),0)</f>
        <v>0</v>
      </c>
      <c r="M258" s="536"/>
      <c r="N258" s="533">
        <f ca="1">IFERROR(__xludf.DUMMYFUNCTION("IMPORTRANGE(""https://docs.google.com/spreadsheets/d/1Yj_ptqi66GCucihVvJfMjLAmec39IyEx_6qawtMGysU/edit?usp=sharing"",""สบก!CD51"")"),0)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IFERROR(__xludf.DUMMYFUNCTION("IMPORTRANGE(""https://docs.google.com/spreadsheets/d/1XL5vhW3sbDhbH9Cz0tuDiY8C3ctxq1tqvaCgkFb8cCA/edit?usp=sharing"",""สกลนคร!J175"")"),0)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IFERROR(__xludf.DUMMYFUNCTION("IMPORTRANGE(""https://docs.google.com/spreadsheets/d/1XL5vhW3sbDhbH9Cz0tuDiY8C3ctxq1tqvaCgkFb8cCA/edit?usp=sharing"",""สกลนคร!J176"")"),1)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IFERROR(__xludf.DUMMYFUNCTION("IMPORTRANGE(""https://docs.google.com/spreadsheets/d/1XL5vhW3sbDhbH9Cz0tuDiY8C3ctxq1tqvaCgkFb8cCA/edit?usp=sharing"",""สกลนคร!J177"")"),1)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IFERROR(__xludf.DUMMYFUNCTION("IMPORTRANGE(""https://docs.google.com/spreadsheets/d/1XL5vhW3sbDhbH9Cz0tuDiY8C3ctxq1tqvaCgkFb8cCA/edit?usp=sharing"",""สกลนคร!J178"")"),1)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IFERROR(__xludf.DUMMYFUNCTION("IMPORTRANGE(""https://docs.google.com/spreadsheets/d/1XL5vhW3sbDhbH9Cz0tuDiY8C3ctxq1tqvaCgkFb8cCA/edit?usp=sharing"",""สกลนคร!I179"")"),1)</f>
        <v>1</v>
      </c>
      <c r="J264" s="190">
        <f ca="1">IFERROR(__xludf.DUMMYFUNCTION("IMPORTRANGE(""https://docs.google.com/spreadsheets/d/1XL5vhW3sbDhbH9Cz0tuDiY8C3ctxq1tqvaCgkFb8cCA/edit?usp=sharing"",""สกลนคร!J179"")"),0)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IFERROR(__xludf.DUMMYFUNCTION("IMPORTRANGE(""https://docs.google.com/spreadsheets/d/1XL5vhW3sbDhbH9Cz0tuDiY8C3ctxq1tqvaCgkFb8cCA/edit?usp=sharing"",""สกลนคร!I180"")"),25)</f>
        <v>25</v>
      </c>
      <c r="J265" s="190">
        <f ca="1">IFERROR(__xludf.DUMMYFUNCTION("IMPORTRANGE(""https://docs.google.com/spreadsheets/d/1XL5vhW3sbDhbH9Cz0tuDiY8C3ctxq1tqvaCgkFb8cCA/edit?usp=sharing"",""สกลนคร!J180"")"),13)</f>
        <v>13</v>
      </c>
      <c r="K265" s="165">
        <f t="shared" ca="1" si="82"/>
        <v>52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IFERROR(__xludf.DUMMYFUNCTION("IMPORTRANGE(""https://docs.google.com/spreadsheets/d/1XL5vhW3sbDhbH9Cz0tuDiY8C3ctxq1tqvaCgkFb8cCA/edit?usp=sharing"",""สกลนคร!I181"")"),25)</f>
        <v>25</v>
      </c>
      <c r="J266" s="190">
        <f ca="1">IFERROR(__xludf.DUMMYFUNCTION("IMPORTRANGE(""https://docs.google.com/spreadsheets/d/1XL5vhW3sbDhbH9Cz0tuDiY8C3ctxq1tqvaCgkFb8cCA/edit?usp=sharing"",""สกลนคร!J181"")"),0)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IFERROR(__xludf.DUMMYFUNCTION("IMPORTRANGE(""https://docs.google.com/spreadsheets/d/1XL5vhW3sbDhbH9Cz0tuDiY8C3ctxq1tqvaCgkFb8cCA/edit?usp=sharing"",""สกลนคร!I182"")"),1)</f>
        <v>1</v>
      </c>
      <c r="J267" s="190">
        <f ca="1">IFERROR(__xludf.DUMMYFUNCTION("IMPORTRANGE(""https://docs.google.com/spreadsheets/d/1XL5vhW3sbDhbH9Cz0tuDiY8C3ctxq1tqvaCgkFb8cCA/edit?usp=sharing"",""สกลนคร!J182"")"),1)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IFERROR(__xludf.DUMMYFUNCTION("IMPORTRANGE(""https://docs.google.com/spreadsheets/d/1XL5vhW3sbDhbH9Cz0tuDiY8C3ctxq1tqvaCgkFb8cCA/edit?usp=sharing"",""สกลนคร!J183"")"),0)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IFERROR(__xludf.DUMMYFUNCTION("IMPORTRANGE(""https://docs.google.com/spreadsheets/d/1XL5vhW3sbDhbH9Cz0tuDiY8C3ctxq1tqvaCgkFb8cCA/edit?usp=sharing"",""สกลนคร!J184"")"),0)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IFERROR(__xludf.DUMMYFUNCTION("IMPORTRANGE(""https://docs.google.com/spreadsheets/d/1XL5vhW3sbDhbH9Cz0tuDiY8C3ctxq1tqvaCgkFb8cCA/edit?usp=sharing"",""สกลนคร!I185"")"),0)</f>
        <v>0</v>
      </c>
      <c r="J270" s="316">
        <f ca="1">IFERROR(__xludf.DUMMYFUNCTION("IMPORTRANGE(""https://docs.google.com/spreadsheets/d/1XL5vhW3sbDhbH9Cz0tuDiY8C3ctxq1tqvaCgkFb8cCA/edit?usp=sharing"",""สกลนคร!J185"")"),0)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IFERROR(__xludf.DUMMYFUNCTION("IMPORTRANGE(""https://docs.google.com/spreadsheets/d/1Yj_ptqi66GCucihVvJfMjLAmec39IyEx_6qawtMGysU/edit?usp=sharing"",""สบก!CK51"")"),0)</f>
        <v>0</v>
      </c>
      <c r="N275" s="538">
        <f ca="1">IFERROR(__xludf.DUMMYFUNCTION("IMPORTRANGE(""https://docs.google.com/spreadsheets/d/1Yj_ptqi66GCucihVvJfMjLAmec39IyEx_6qawtMGysU/edit?usp=sharing"",""สบก!CL51"")"),0)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IFERROR(__xludf.DUMMYFUNCTION("IMPORTRANGE(""https://docs.google.com/spreadsheets/d/1Yj_ptqi66GCucihVvJfMjLAmec39IyEx_6qawtMGysU/edit?usp=sharing"",""สบก!CG51"")"),0)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IFERROR(__xludf.DUMMYFUNCTION("IMPORTRANGE(""https://docs.google.com/spreadsheets/d/1Yj_ptqi66GCucihVvJfMjLAmec39IyEx_6qawtMGysU/edit?usp=sharing"",""สบก!CH51"")"),0)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IFERROR(__xludf.DUMMYFUNCTION("IMPORTRANGE(""https://docs.google.com/spreadsheets/d/1Yj_ptqi66GCucihVvJfMjLAmec39IyEx_6qawtMGysU/edit?usp=sharing"",""สบก!CI51"")"),0)</f>
        <v>0</v>
      </c>
      <c r="M279" s="536"/>
      <c r="N279" s="533">
        <f ca="1">IFERROR(__xludf.DUMMYFUNCTION("IMPORTRANGE(""https://docs.google.com/spreadsheets/d/1Yj_ptqi66GCucihVvJfMjLAmec39IyEx_6qawtMGysU/edit?usp=sharing"",""สบก!CM51"")"),0)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IFERROR(__xludf.DUMMYFUNCTION("IMPORTRANGE(""https://docs.google.com/spreadsheets/d/1XL5vhW3sbDhbH9Cz0tuDiY8C3ctxq1tqvaCgkFb8cCA/edit?usp=sharing"",""สกลนคร!J191"")"),0)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IFERROR(__xludf.DUMMYFUNCTION("IMPORTRANGE(""https://docs.google.com/spreadsheets/d/1XL5vhW3sbDhbH9Cz0tuDiY8C3ctxq1tqvaCgkFb8cCA/edit?usp=sharing"",""สกลนคร!J192"")"),0)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IFERROR(__xludf.DUMMYFUNCTION("IMPORTRANGE(""https://docs.google.com/spreadsheets/d/1XL5vhW3sbDhbH9Cz0tuDiY8C3ctxq1tqvaCgkFb8cCA/edit?usp=sharing"",""สกลนคร!J193"")"),0)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IFERROR(__xludf.DUMMYFUNCTION("IMPORTRANGE(""https://docs.google.com/spreadsheets/d/1XL5vhW3sbDhbH9Cz0tuDiY8C3ctxq1tqvaCgkFb8cCA/edit?usp=sharing"",""สกลนคร!J194"")"),0)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IFERROR(__xludf.DUMMYFUNCTION("IMPORTRANGE(""https://docs.google.com/spreadsheets/d/1XL5vhW3sbDhbH9Cz0tuDiY8C3ctxq1tqvaCgkFb8cCA/edit?usp=sharing"",""สกลนคร!I195"")"),0)</f>
        <v>0</v>
      </c>
      <c r="J285" s="190">
        <f ca="1">IFERROR(__xludf.DUMMYFUNCTION("IMPORTRANGE(""https://docs.google.com/spreadsheets/d/1XL5vhW3sbDhbH9Cz0tuDiY8C3ctxq1tqvaCgkFb8cCA/edit?usp=sharing"",""สกลนคร!J195"")"),0)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IFERROR(__xludf.DUMMYFUNCTION("IMPORTRANGE(""https://docs.google.com/spreadsheets/d/1XL5vhW3sbDhbH9Cz0tuDiY8C3ctxq1tqvaCgkFb8cCA/edit?usp=sharing"",""สกลนคร!J196"")"),0)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IFERROR(__xludf.DUMMYFUNCTION("IMPORTRANGE(""https://docs.google.com/spreadsheets/d/1XL5vhW3sbDhbH9Cz0tuDiY8C3ctxq1tqvaCgkFb8cCA/edit?usp=sharing"",""สกลนคร!I199"")"),0)</f>
        <v>0</v>
      </c>
      <c r="J289" s="316">
        <f ca="1">IFERROR(__xludf.DUMMYFUNCTION("IMPORTRANGE(""https://docs.google.com/spreadsheets/d/1XL5vhW3sbDhbH9Cz0tuDiY8C3ctxq1tqvaCgkFb8cCA/edit?usp=sharing"",""สกลนคร!J199"")"),0)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IFERROR(__xludf.DUMMYFUNCTION("IMPORTRANGE(""https://docs.google.com/spreadsheets/d/1Yj_ptqi66GCucihVvJfMjLAmec39IyEx_6qawtMGysU/edit?usp=sharing"",""สบก!CT51"")"),0)</f>
        <v>0</v>
      </c>
      <c r="N294" s="538">
        <f ca="1">IFERROR(__xludf.DUMMYFUNCTION("IMPORTRANGE(""https://docs.google.com/spreadsheets/d/1Yj_ptqi66GCucihVvJfMjLAmec39IyEx_6qawtMGysU/edit?usp=sharing"",""สบก!CU51"")"),0)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IFERROR(__xludf.DUMMYFUNCTION("IMPORTRANGE(""https://docs.google.com/spreadsheets/d/1Yj_ptqi66GCucihVvJfMjLAmec39IyEx_6qawtMGysU/edit?usp=sharing"",""สบก!CP51"")"),0)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IFERROR(__xludf.DUMMYFUNCTION("IMPORTRANGE(""https://docs.google.com/spreadsheets/d/1Yj_ptqi66GCucihVvJfMjLAmec39IyEx_6qawtMGysU/edit?usp=sharing"",""สบก!CQ51"")"),0)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IFERROR(__xludf.DUMMYFUNCTION("IMPORTRANGE(""https://docs.google.com/spreadsheets/d/1Yj_ptqi66GCucihVvJfMjLAmec39IyEx_6qawtMGysU/edit?usp=sharing"",""สบก!CR51"")"),0)</f>
        <v>0</v>
      </c>
      <c r="M298" s="536"/>
      <c r="N298" s="533">
        <f ca="1">IFERROR(__xludf.DUMMYFUNCTION("IMPORTRANGE(""https://docs.google.com/spreadsheets/d/1Yj_ptqi66GCucihVvJfMjLAmec39IyEx_6qawtMGysU/edit?usp=sharing"",""สบก!CV51"")"),0)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IFERROR(__xludf.DUMMYFUNCTION("IMPORTRANGE(""https://docs.google.com/spreadsheets/d/1XL5vhW3sbDhbH9Cz0tuDiY8C3ctxq1tqvaCgkFb8cCA/edit?usp=sharing"",""สกลนคร!I209"")"),0)</f>
        <v>0</v>
      </c>
      <c r="J304" s="205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IFERROR(__xludf.DUMMYFUNCTION("IMPORTRANGE(""https://docs.google.com/spreadsheets/d/1XL5vhW3sbDhbH9Cz0tuDiY8C3ctxq1tqvaCgkFb8cCA/edit?usp=sharing"",""สกลนคร!I211"")"),0)</f>
        <v>0</v>
      </c>
      <c r="J306" s="205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IFERROR(__xludf.DUMMYFUNCTION("IMPORTRANGE(""https://docs.google.com/spreadsheets/d/1XL5vhW3sbDhbH9Cz0tuDiY8C3ctxq1tqvaCgkFb8cCA/edit?usp=sharing"",""สกลนคร!I214"")"),0)</f>
        <v>0</v>
      </c>
      <c r="J309" s="333">
        <f ca="1">IFERROR(__xludf.DUMMYFUNCTION("IMPORTRANGE(""https://docs.google.com/spreadsheets/d/1XL5vhW3sbDhbH9Cz0tuDiY8C3ctxq1tqvaCgkFb8cCA/edit?usp=sharing"",""สกลนคร!J214"")"),0)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IFERROR(__xludf.DUMMYFUNCTION("IMPORTRANGE(""https://docs.google.com/spreadsheets/d/1Yj_ptqi66GCucihVvJfMjLAmec39IyEx_6qawtMGysU/edit?usp=sharing"",""สบก!DC51"")"),0)</f>
        <v>0</v>
      </c>
      <c r="N314" s="538">
        <f ca="1">IFERROR(__xludf.DUMMYFUNCTION("IMPORTRANGE(""https://docs.google.com/spreadsheets/d/1Yj_ptqi66GCucihVvJfMjLAmec39IyEx_6qawtMGysU/edit?usp=sharing"",""สบก!DD51"")"),0)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IFERROR(__xludf.DUMMYFUNCTION("IMPORTRANGE(""https://docs.google.com/spreadsheets/d/1Yj_ptqi66GCucihVvJfMjLAmec39IyEx_6qawtMGysU/edit?usp=sharing"",""สบก!CY51"")"),0)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IFERROR(__xludf.DUMMYFUNCTION("IMPORTRANGE(""https://docs.google.com/spreadsheets/d/1Yj_ptqi66GCucihVvJfMjLAmec39IyEx_6qawtMGysU/edit?usp=sharing"",""สบก!CZ51"")"),0)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IFERROR(__xludf.DUMMYFUNCTION("IMPORTRANGE(""https://docs.google.com/spreadsheets/d/1Yj_ptqi66GCucihVvJfMjLAmec39IyEx_6qawtMGysU/edit?usp=sharing"",""สบก!DA51"")"),0)</f>
        <v>0</v>
      </c>
      <c r="M318" s="536"/>
      <c r="N318" s="533">
        <f ca="1">IFERROR(__xludf.DUMMYFUNCTION("IMPORTRANGE(""https://docs.google.com/spreadsheets/d/1Yj_ptqi66GCucihVvJfMjLAmec39IyEx_6qawtMGysU/edit?usp=sharing"",""สบก!DE51"")"),0)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IFERROR(__xludf.DUMMYFUNCTION("IMPORTRANGE(""https://docs.google.com/spreadsheets/d/1XL5vhW3sbDhbH9Cz0tuDiY8C3ctxq1tqvaCgkFb8cCA/edit?usp=sharing"",""สกลนคร!I224"")"),0)</f>
        <v>0</v>
      </c>
      <c r="J324" s="205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IFERROR(__xludf.DUMMYFUNCTION("IMPORTRANGE(""https://docs.google.com/spreadsheets/d/1XL5vhW3sbDhbH9Cz0tuDiY8C3ctxq1tqvaCgkFb8cCA/edit?usp=sharing"",""สกลนคร!I228"")"),610)</f>
        <v>610</v>
      </c>
      <c r="J328" s="339">
        <f ca="1">IFERROR(__xludf.DUMMYFUNCTION("IMPORTRANGE(""https://docs.google.com/spreadsheets/d/1XL5vhW3sbDhbH9Cz0tuDiY8C3ctxq1tqvaCgkFb8cCA/edit?usp=sharing"",""สกลนคร!J228"")"),7)</f>
        <v>7</v>
      </c>
      <c r="K328" s="317">
        <f ca="1">IF(I328&gt;0,J328*100/I328,0)</f>
        <v>1.1475409836065573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1170150</v>
      </c>
      <c r="M329" s="152">
        <f t="shared" ca="1" si="98"/>
        <v>666160</v>
      </c>
      <c r="N329" s="152">
        <f t="shared" ca="1" si="98"/>
        <v>631540</v>
      </c>
      <c r="O329" s="151">
        <f t="shared" ref="O329:O331" ca="1" si="99">IF(L329&gt;0,N329*100/L329,0)</f>
        <v>53.970858436952525</v>
      </c>
      <c r="P329" s="151">
        <f t="shared" ref="P329:P331" ca="1" si="100">IF(M329&gt;0,N329*100/M329,0)</f>
        <v>94.803050318241858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1170150</v>
      </c>
      <c r="M331" s="157">
        <f t="shared" ca="1" si="102"/>
        <v>666160</v>
      </c>
      <c r="N331" s="157">
        <f t="shared" ca="1" si="102"/>
        <v>631540</v>
      </c>
      <c r="O331" s="156">
        <f t="shared" ca="1" si="99"/>
        <v>53.970858436952525</v>
      </c>
      <c r="P331" s="156">
        <f t="shared" ca="1" si="100"/>
        <v>94.803050318241858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1170150</v>
      </c>
      <c r="M333" s="537">
        <f ca="1">IFERROR(__xludf.DUMMYFUNCTION("IMPORTRANGE(""https://docs.google.com/spreadsheets/d/1Yj_ptqi66GCucihVvJfMjLAmec39IyEx_6qawtMGysU/edit?usp=sharing"",""สบก!DL51"")"),666160)</f>
        <v>666160</v>
      </c>
      <c r="N333" s="538">
        <f ca="1">IFERROR(__xludf.DUMMYFUNCTION("IMPORTRANGE(""https://docs.google.com/spreadsheets/d/1Yj_ptqi66GCucihVvJfMjLAmec39IyEx_6qawtMGysU/edit?usp=sharing"",""สบก!DM51"")"),631540)</f>
        <v>631540</v>
      </c>
      <c r="O333" s="170">
        <f ca="1">IF(L333&gt;0,N333*100/L333,0)</f>
        <v>53.970858436952525</v>
      </c>
      <c r="P333" s="170">
        <f ca="1">IF(M333&gt;0,N333*100/M333,0)</f>
        <v>94.803050318241858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IFERROR(__xludf.DUMMYFUNCTION("IMPORTRANGE(""https://docs.google.com/spreadsheets/d/1Yj_ptqi66GCucihVvJfMjLAmec39IyEx_6qawtMGysU/edit?usp=sharing"",""สบก!DH51"")"),306000)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IFERROR(__xludf.DUMMYFUNCTION("IMPORTRANGE(""https://docs.google.com/spreadsheets/d/1Yj_ptqi66GCucihVvJfMjLAmec39IyEx_6qawtMGysU/edit?usp=sharing"",""สบก!DI51"")"),864150)</f>
        <v>864150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IFERROR(__xludf.DUMMYFUNCTION("IMPORTRANGE(""https://docs.google.com/spreadsheets/d/1Yj_ptqi66GCucihVvJfMjLAmec39IyEx_6qawtMGysU/edit?usp=sharing"",""สบก!DJ51"")"),0)</f>
        <v>0</v>
      </c>
      <c r="M337" s="536"/>
      <c r="N337" s="533">
        <f ca="1">IFERROR(__xludf.DUMMYFUNCTION("IMPORTRANGE(""https://docs.google.com/spreadsheets/d/1Yj_ptqi66GCucihVvJfMjLAmec39IyEx_6qawtMGysU/edit?usp=sharing"",""สบก!DN51"")"),0)</f>
        <v>0</v>
      </c>
      <c r="O337" s="536">
        <f ca="1">IF(L337&gt;0,N337*100/L337,0)</f>
        <v>0</v>
      </c>
      <c r="P337" s="536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IFERROR(__xludf.DUMMYFUNCTION("IMPORTRANGE(""https://docs.google.com/spreadsheets/d/1XL5vhW3sbDhbH9Cz0tuDiY8C3ctxq1tqvaCgkFb8cCA/edit?usp=sharing"",""สกลนคร!I234"")"),0)</f>
        <v>0</v>
      </c>
      <c r="J339" s="189">
        <f ca="1">IFERROR(__xludf.DUMMYFUNCTION("IMPORTRANGE(""https://docs.google.com/spreadsheets/d/1XL5vhW3sbDhbH9Cz0tuDiY8C3ctxq1tqvaCgkFb8cCA/edit?usp=sharing"",""สกลนคร!J234"")"),473)</f>
        <v>473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IFERROR(__xludf.DUMMYFUNCTION("IMPORTRANGE(""https://docs.google.com/spreadsheets/d/1XL5vhW3sbDhbH9Cz0tuDiY8C3ctxq1tqvaCgkFb8cCA/edit?usp=sharing"",""สกลนคร!I235"")"),4920)</f>
        <v>4920</v>
      </c>
      <c r="J340" s="189">
        <f ca="1">IFERROR(__xludf.DUMMYFUNCTION("IMPORTRANGE(""https://docs.google.com/spreadsheets/d/1XL5vhW3sbDhbH9Cz0tuDiY8C3ctxq1tqvaCgkFb8cCA/edit?usp=sharing"",""สกลนคร!J235"")"),3825.13)</f>
        <v>3825.13</v>
      </c>
      <c r="K340" s="342">
        <f t="shared" ca="1" si="103"/>
        <v>77.746544715447158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IFERROR(__xludf.DUMMYFUNCTION("IMPORTRANGE(""https://docs.google.com/spreadsheets/d/1XL5vhW3sbDhbH9Cz0tuDiY8C3ctxq1tqvaCgkFb8cCA/edit?usp=sharing"",""สกลนคร!I236"")"),610)</f>
        <v>610</v>
      </c>
      <c r="J341" s="189">
        <f ca="1">IFERROR(__xludf.DUMMYFUNCTION("IMPORTRANGE(""https://docs.google.com/spreadsheets/d/1XL5vhW3sbDhbH9Cz0tuDiY8C3ctxq1tqvaCgkFb8cCA/edit?usp=sharing"",""สกลนคร!J236"")"),447)</f>
        <v>447</v>
      </c>
      <c r="K341" s="342">
        <f t="shared" ca="1" si="103"/>
        <v>73.278688524590166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9">
        <f ca="1">IFERROR(__xludf.DUMMYFUNCTION("IMPORTRANGE(""https://docs.google.com/spreadsheets/d/1XL5vhW3sbDhbH9Cz0tuDiY8C3ctxq1tqvaCgkFb8cCA/edit?usp=sharing"",""สกลนคร!J237"")"),3580.69)</f>
        <v>3580.69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IFERROR(__xludf.DUMMYFUNCTION("IMPORTRANGE(""https://docs.google.com/spreadsheets/d/1XL5vhW3sbDhbH9Cz0tuDiY8C3ctxq1tqvaCgkFb8cCA/edit?usp=sharing"",""สกลนคร!I238"")"),610)</f>
        <v>610</v>
      </c>
      <c r="J343" s="189">
        <f ca="1">IFERROR(__xludf.DUMMYFUNCTION("IMPORTRANGE(""https://docs.google.com/spreadsheets/d/1XL5vhW3sbDhbH9Cz0tuDiY8C3ctxq1tqvaCgkFb8cCA/edit?usp=sharing"",""สกลนคร!J238"")"),106)</f>
        <v>106</v>
      </c>
      <c r="K343" s="342">
        <f t="shared" ca="1" si="103"/>
        <v>17.377049180327869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9">
        <f ca="1">IFERROR(__xludf.DUMMYFUNCTION("IMPORTRANGE(""https://docs.google.com/spreadsheets/d/1XL5vhW3sbDhbH9Cz0tuDiY8C3ctxq1tqvaCgkFb8cCA/edit?usp=sharing"",""สกลนคร!J239"")"),825.9)</f>
        <v>825.9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IFERROR(__xludf.DUMMYFUNCTION("IMPORTRANGE(""https://docs.google.com/spreadsheets/d/1XL5vhW3sbDhbH9Cz0tuDiY8C3ctxq1tqvaCgkFb8cCA/edit?usp=sharing"",""สกลนคร!I240"")"),610)</f>
        <v>610</v>
      </c>
      <c r="J345" s="189">
        <f ca="1">IFERROR(__xludf.DUMMYFUNCTION("IMPORTRANGE(""https://docs.google.com/spreadsheets/d/1XL5vhW3sbDhbH9Cz0tuDiY8C3ctxq1tqvaCgkFb8cCA/edit?usp=sharing"",""สกลนคร!J240"")"),7)</f>
        <v>7</v>
      </c>
      <c r="K345" s="342">
        <f t="shared" ca="1" si="103"/>
        <v>1.1475409836065573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9">
        <f ca="1">IFERROR(__xludf.DUMMYFUNCTION("IMPORTRANGE(""https://docs.google.com/spreadsheets/d/1XL5vhW3sbDhbH9Cz0tuDiY8C3ctxq1tqvaCgkFb8cCA/edit?usp=sharing"",""สกลนคร!J241"")"),50.44)</f>
        <v>50.44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IFERROR(__xludf.DUMMYFUNCTION("IMPORTRANGE(""https://docs.google.com/spreadsheets/d/1XL5vhW3sbDhbH9Cz0tuDiY8C3ctxq1tqvaCgkFb8cCA/edit?usp=sharing"",""สกลนคร!L242"")"),2306026)</f>
        <v>2306026</v>
      </c>
      <c r="M347" s="358"/>
      <c r="N347" s="358">
        <f ca="1">IFERROR(__xludf.DUMMYFUNCTION("IMPORTRANGE(""https://docs.google.com/spreadsheets/d/1XL5vhW3sbDhbH9Cz0tuDiY8C3ctxq1tqvaCgkFb8cCA/edit?usp=sharing"",""สกลนคร!M242"")"),645214.72)</f>
        <v>645214.71999999997</v>
      </c>
      <c r="O347" s="358">
        <f ca="1">+IF(L347&gt;0,N347*100/L347,0)</f>
        <v>27.979507603123295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IFERROR(__xludf.DUMMYFUNCTION("IMPORTRANGE(""https://docs.google.com/spreadsheets/d/1XL5vhW3sbDhbH9Cz0tuDiY8C3ctxq1tqvaCgkFb8cCA/edit?usp=sharing"",""สกลนคร!J244"")"),26)</f>
        <v>26</v>
      </c>
      <c r="K349" s="372">
        <f t="shared" ref="K349:K350" ca="1" si="104">IF(I349&gt;0,J349*100/I349,0)</f>
        <v>22.413793103448278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IFERROR(__xludf.DUMMYFUNCTION("IMPORTRANGE(""https://docs.google.com/spreadsheets/d/1XL5vhW3sbDhbH9Cz0tuDiY8C3ctxq1tqvaCgkFb8cCA/edit?usp=sharing"",""สกลนคร!M244"")"),123017.26)</f>
        <v>123017.26</v>
      </c>
      <c r="O349" s="373">
        <f ca="1">+IF(L349&gt;0,N349*100/L349,0)</f>
        <v>32.87737124836304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IFERROR(__xludf.DUMMYFUNCTION("IMPORTRANGE(""https://docs.google.com/spreadsheets/d/1XL5vhW3sbDhbH9Cz0tuDiY8C3ctxq1tqvaCgkFb8cCA/edit?usp=sharing"",""สกลนคร!L246"")"),0)</f>
        <v>0</v>
      </c>
      <c r="M351" s="166"/>
      <c r="N351" s="166">
        <f ca="1">IFERROR(__xludf.DUMMYFUNCTION("IMPORTRANGE(""https://docs.google.com/spreadsheets/d/1XL5vhW3sbDhbH9Cz0tuDiY8C3ctxq1tqvaCgkFb8cCA/edit?usp=sharing"",""สกลนคร!M246"")"),0)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IFERROR(__xludf.DUMMYFUNCTION("IMPORTRANGE(""https://docs.google.com/spreadsheets/d/1XL5vhW3sbDhbH9Cz0tuDiY8C3ctxq1tqvaCgkFb8cCA/edit?usp=sharing"",""สกลนคร!L247"")"),374170)</f>
        <v>374170</v>
      </c>
      <c r="M352" s="167"/>
      <c r="N352" s="166">
        <f ca="1">IFERROR(__xludf.DUMMYFUNCTION("IMPORTRANGE(""https://docs.google.com/spreadsheets/d/1XL5vhW3sbDhbH9Cz0tuDiY8C3ctxq1tqvaCgkFb8cCA/edit?usp=sharing"",""สกลนคร!M247"")"),123017.26)</f>
        <v>123017.26</v>
      </c>
      <c r="O352" s="167">
        <f t="shared" ca="1" si="105"/>
        <v>32.87737124836304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IFERROR(__xludf.DUMMYFUNCTION("IMPORTRANGE(""https://docs.google.com/spreadsheets/d/1XL5vhW3sbDhbH9Cz0tuDiY8C3ctxq1tqvaCgkFb8cCA/edit?usp=sharing"",""สกลนคร!L248"")"),0)</f>
        <v>0</v>
      </c>
      <c r="M353" s="170"/>
      <c r="N353" s="170">
        <f ca="1">IFERROR(__xludf.DUMMYFUNCTION("IMPORTRANGE(""https://docs.google.com/spreadsheets/d/1XL5vhW3sbDhbH9Cz0tuDiY8C3ctxq1tqvaCgkFb8cCA/edit?usp=sharing"",""สกลนคร!M248"")"),0)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IFERROR(__xludf.DUMMYFUNCTION("IMPORTRANGE(""https://docs.google.com/spreadsheets/d/1XL5vhW3sbDhbH9Cz0tuDiY8C3ctxq1tqvaCgkFb8cCA/edit?usp=sharing"",""สกลนคร!L249"")"),374170)</f>
        <v>374170</v>
      </c>
      <c r="M354" s="170"/>
      <c r="N354" s="169">
        <f ca="1">IFERROR(__xludf.DUMMYFUNCTION("IMPORTRANGE(""https://docs.google.com/spreadsheets/d/1XL5vhW3sbDhbH9Cz0tuDiY8C3ctxq1tqvaCgkFb8cCA/edit?usp=sharing"",""สกลนคร!M249"")"),123017.26)</f>
        <v>123017.26</v>
      </c>
      <c r="O354" s="170">
        <f t="shared" ca="1" si="105"/>
        <v>32.87737124836304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IFERROR(__xludf.DUMMYFUNCTION("IMPORTRANGE(""https://docs.google.com/spreadsheets/d/1XL5vhW3sbDhbH9Cz0tuDiY8C3ctxq1tqvaCgkFb8cCA/edit?usp=sharing"",""สกลนคร!M250"")"),44345)</f>
        <v>44345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IFERROR(__xludf.DUMMYFUNCTION("IMPORTRANGE(""https://docs.google.com/spreadsheets/d/1XL5vhW3sbDhbH9Cz0tuDiY8C3ctxq1tqvaCgkFb8cCA/edit?usp=sharing"",""สกลนคร!M251"")"),19800)</f>
        <v>19800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IFERROR(__xludf.DUMMYFUNCTION("IMPORTRANGE(""https://docs.google.com/spreadsheets/d/1XL5vhW3sbDhbH9Cz0tuDiY8C3ctxq1tqvaCgkFb8cCA/edit?usp=sharing"",""สกลนคร!M252"")"),50032.26)</f>
        <v>50032.26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IFERROR(__xludf.DUMMYFUNCTION("IMPORTRANGE(""https://docs.google.com/spreadsheets/d/1XL5vhW3sbDhbH9Cz0tuDiY8C3ctxq1tqvaCgkFb8cCA/edit?usp=sharing"",""สกลนคร!M253"")"),8840)</f>
        <v>8840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IFERROR(__xludf.DUMMYFUNCTION("IMPORTRANGE(""https://docs.google.com/spreadsheets/d/1XL5vhW3sbDhbH9Cz0tuDiY8C3ctxq1tqvaCgkFb8cCA/edit?usp=sharing"",""สกลนคร!J255"")"),0)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IFERROR(__xludf.DUMMYFUNCTION("IMPORTRANGE(""https://docs.google.com/spreadsheets/d/1XL5vhW3sbDhbH9Cz0tuDiY8C3ctxq1tqvaCgkFb8cCA/edit?usp=sharing"",""สกลนคร!J256"")"),1)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IFERROR(__xludf.DUMMYFUNCTION("IMPORTRANGE(""https://docs.google.com/spreadsheets/d/1XL5vhW3sbDhbH9Cz0tuDiY8C3ctxq1tqvaCgkFb8cCA/edit?usp=sharing"",""สกลนคร!J257"")"),1)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IFERROR(__xludf.DUMMYFUNCTION("IMPORTRANGE(""https://docs.google.com/spreadsheets/d/1XL5vhW3sbDhbH9Cz0tuDiY8C3ctxq1tqvaCgkFb8cCA/edit?usp=sharing"",""สกลนคร!J258"")"),1)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IFERROR(__xludf.DUMMYFUNCTION("IMPORTRANGE(""https://docs.google.com/spreadsheets/d/1XL5vhW3sbDhbH9Cz0tuDiY8C3ctxq1tqvaCgkFb8cCA/edit?usp=sharing"",""สกลนคร!J166"")"),0)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IFERROR(__xludf.DUMMYFUNCTION("IMPORTRANGE(""https://docs.google.com/spreadsheets/d/1XL5vhW3sbDhbH9Cz0tuDiY8C3ctxq1tqvaCgkFb8cCA/edit?usp=sharing"",""สกลนคร!J166"")"),0)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IFERROR(__xludf.DUMMYFUNCTION("IMPORTRANGE(""https://docs.google.com/spreadsheets/d/1XL5vhW3sbDhbH9Cz0tuDiY8C3ctxq1tqvaCgkFb8cCA/edit?usp=sharing"",""สกลนคร!J166"")"),0)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IFERROR(__xludf.DUMMYFUNCTION("IMPORTRANGE(""https://docs.google.com/spreadsheets/d/1XL5vhW3sbDhbH9Cz0tuDiY8C3ctxq1tqvaCgkFb8cCA/edit?usp=sharing"",""สกลนคร!J166"")"),0)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IFERROR(__xludf.DUMMYFUNCTION("IMPORTRANGE(""https://docs.google.com/spreadsheets/d/1XL5vhW3sbDhbH9Cz0tuDiY8C3ctxq1tqvaCgkFb8cCA/edit?usp=sharing"",""สกลนคร!I263"")"),61)</f>
        <v>61</v>
      </c>
      <c r="J368" s="189">
        <f ca="1">IFERROR(__xludf.DUMMYFUNCTION("IMPORTRANGE(""https://docs.google.com/spreadsheets/d/1XL5vhW3sbDhbH9Cz0tuDiY8C3ctxq1tqvaCgkFb8cCA/edit?usp=sharing"",""สกลนคร!J263"")"),0)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IFERROR(__xludf.DUMMYFUNCTION("IMPORTRANGE(""https://docs.google.com/spreadsheets/d/1XL5vhW3sbDhbH9Cz0tuDiY8C3ctxq1tqvaCgkFb8cCA/edit?usp=sharing"",""สกลนคร!I164"")"),0)</f>
        <v>0</v>
      </c>
      <c r="J369" s="205">
        <f ca="1">IFERROR(__xludf.DUMMYFUNCTION("IMPORTRANGE(""https://docs.google.com/spreadsheets/d/1XL5vhW3sbDhbH9Cz0tuDiY8C3ctxq1tqvaCgkFb8cCA/edit?usp=sharing"",""สกลนคร!J164"")"),0)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IFERROR(__xludf.DUMMYFUNCTION("IMPORTRANGE(""https://docs.google.com/spreadsheets/d/1XL5vhW3sbDhbH9Cz0tuDiY8C3ctxq1tqvaCgkFb8cCA/edit?usp=sharing"",""สกลนคร!I265"")"),61)</f>
        <v>61</v>
      </c>
      <c r="J370" s="205">
        <f ca="1">IFERROR(__xludf.DUMMYFUNCTION("IMPORTRANGE(""https://docs.google.com/spreadsheets/d/1XL5vhW3sbDhbH9Cz0tuDiY8C3ctxq1tqvaCgkFb8cCA/edit?usp=sharing"",""สกลนคร!J265"")"),29)</f>
        <v>29</v>
      </c>
      <c r="K370" s="165">
        <f t="shared" ca="1" si="106"/>
        <v>47.540983606557376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IFERROR(__xludf.DUMMYFUNCTION("IMPORTRANGE(""https://docs.google.com/spreadsheets/d/1XL5vhW3sbDhbH9Cz0tuDiY8C3ctxq1tqvaCgkFb8cCA/edit?usp=sharing"",""สกลนคร!I164"")"),0)</f>
        <v>0</v>
      </c>
      <c r="J371" s="190">
        <f ca="1">IFERROR(__xludf.DUMMYFUNCTION("IMPORTRANGE(""https://docs.google.com/spreadsheets/d/1XL5vhW3sbDhbH9Cz0tuDiY8C3ctxq1tqvaCgkFb8cCA/edit?usp=sharing"",""สกลนคร!J164"")"),0)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IFERROR(__xludf.DUMMYFUNCTION("IMPORTRANGE(""https://docs.google.com/spreadsheets/d/1XL5vhW3sbDhbH9Cz0tuDiY8C3ctxq1tqvaCgkFb8cCA/edit?usp=sharing"",""สกลนคร!I267"")"),61)</f>
        <v>61</v>
      </c>
      <c r="J372" s="190">
        <f ca="1">IFERROR(__xludf.DUMMYFUNCTION("IMPORTRANGE(""https://docs.google.com/spreadsheets/d/1XL5vhW3sbDhbH9Cz0tuDiY8C3ctxq1tqvaCgkFb8cCA/edit?usp=sharing"",""สกลนคร!J267"")"),0)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IFERROR(__xludf.DUMMYFUNCTION("IMPORTRANGE(""https://docs.google.com/spreadsheets/d/1XL5vhW3sbDhbH9Cz0tuDiY8C3ctxq1tqvaCgkFb8cCA/edit?usp=sharing"",""สกลนคร!I164"")"),0)</f>
        <v>0</v>
      </c>
      <c r="J373" s="205">
        <f ca="1">IFERROR(__xludf.DUMMYFUNCTION("IMPORTRANGE(""https://docs.google.com/spreadsheets/d/1XL5vhW3sbDhbH9Cz0tuDiY8C3ctxq1tqvaCgkFb8cCA/edit?usp=sharing"",""สกลนคร!J164"")"),0)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IFERROR(__xludf.DUMMYFUNCTION("IMPORTRANGE(""https://docs.google.com/spreadsheets/d/1XL5vhW3sbDhbH9Cz0tuDiY8C3ctxq1tqvaCgkFb8cCA/edit?usp=sharing"",""สกลนคร!I164"")"),0)</f>
        <v>0</v>
      </c>
      <c r="J374" s="189">
        <f ca="1">IFERROR(__xludf.DUMMYFUNCTION("IMPORTRANGE(""https://docs.google.com/spreadsheets/d/1XL5vhW3sbDhbH9Cz0tuDiY8C3ctxq1tqvaCgkFb8cCA/edit?usp=sharing"",""สกลนคร!J164"")"),0)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IFERROR(__xludf.DUMMYFUNCTION("IMPORTRANGE(""https://docs.google.com/spreadsheets/d/1XL5vhW3sbDhbH9Cz0tuDiY8C3ctxq1tqvaCgkFb8cCA/edit?usp=sharing"",""สกลนคร!I270"")"),116)</f>
        <v>116</v>
      </c>
      <c r="J375" s="189">
        <f ca="1">IFERROR(__xludf.DUMMYFUNCTION("IMPORTRANGE(""https://docs.google.com/spreadsheets/d/1XL5vhW3sbDhbH9Cz0tuDiY8C3ctxq1tqvaCgkFb8cCA/edit?usp=sharing"",""สกลนคร!J270"")"),26)</f>
        <v>26</v>
      </c>
      <c r="K375" s="165">
        <f t="shared" ref="K375:K377" ca="1" si="107">IF(I375&gt;0,J375*100/I375,0)</f>
        <v>22.413793103448278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IFERROR(__xludf.DUMMYFUNCTION("IMPORTRANGE(""https://docs.google.com/spreadsheets/d/1XL5vhW3sbDhbH9Cz0tuDiY8C3ctxq1tqvaCgkFb8cCA/edit?usp=sharing"",""สกลนคร!I271"")"),34)</f>
        <v>34</v>
      </c>
      <c r="J376" s="190">
        <f ca="1">IFERROR(__xludf.DUMMYFUNCTION("IMPORTRANGE(""https://docs.google.com/spreadsheets/d/1XL5vhW3sbDhbH9Cz0tuDiY8C3ctxq1tqvaCgkFb8cCA/edit?usp=sharing"",""สกลนคร!J271"")"),0)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IFERROR(__xludf.DUMMYFUNCTION("IMPORTRANGE(""https://docs.google.com/spreadsheets/d/1XL5vhW3sbDhbH9Cz0tuDiY8C3ctxq1tqvaCgkFb8cCA/edit?usp=sharing"",""สกลนคร!I272"")"),82)</f>
        <v>82</v>
      </c>
      <c r="J377" s="205">
        <f ca="1">IFERROR(__xludf.DUMMYFUNCTION("IMPORTRANGE(""https://docs.google.com/spreadsheets/d/1XL5vhW3sbDhbH9Cz0tuDiY8C3ctxq1tqvaCgkFb8cCA/edit?usp=sharing"",""สกลนคร!J272"")"),26)</f>
        <v>26</v>
      </c>
      <c r="K377" s="165">
        <f t="shared" ca="1" si="107"/>
        <v>31.707317073170731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IFERROR(__xludf.DUMMYFUNCTION("IMPORTRANGE(""https://docs.google.com/spreadsheets/d/1XL5vhW3sbDhbH9Cz0tuDiY8C3ctxq1tqvaCgkFb8cCA/edit?usp=sharing"",""สกลนคร!J273"")"),0)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IFERROR(__xludf.DUMMYFUNCTION("IMPORTRANGE(""https://docs.google.com/spreadsheets/d/1XL5vhW3sbDhbH9Cz0tuDiY8C3ctxq1tqvaCgkFb8cCA/edit?usp=sharing"",""สกลนคร!L277"")"),0)</f>
        <v>0</v>
      </c>
      <c r="M382" s="166"/>
      <c r="N382" s="166">
        <f ca="1">IFERROR(__xludf.DUMMYFUNCTION("IMPORTRANGE(""https://docs.google.com/spreadsheets/d/1XL5vhW3sbDhbH9Cz0tuDiY8C3ctxq1tqvaCgkFb8cCA/edit?usp=sharing"",""สกลนคร!M277"")"),0)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IFERROR(__xludf.DUMMYFUNCTION("IMPORTRANGE(""https://docs.google.com/spreadsheets/d/1XL5vhW3sbDhbH9Cz0tuDiY8C3ctxq1tqvaCgkFb8cCA/edit?usp=sharing"",""สกลนคร!L278"")"),460140)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IFERROR(__xludf.DUMMYFUNCTION("IMPORTRANGE(""https://docs.google.com/spreadsheets/d/1XL5vhW3sbDhbH9Cz0tuDiY8C3ctxq1tqvaCgkFb8cCA/edit?usp=sharing"",""สกลนคร!M278"")"),0)</f>
        <v>0</v>
      </c>
      <c r="O383" s="167">
        <f t="shared" ca="1" si="109"/>
        <v>0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IFERROR(__xludf.DUMMYFUNCTION("IMPORTRANGE(""https://docs.google.com/spreadsheets/d/1XL5vhW3sbDhbH9Cz0tuDiY8C3ctxq1tqvaCgkFb8cCA/edit?usp=sharing"",""สกลนคร!L279"")"),0)</f>
        <v>0</v>
      </c>
      <c r="M384" s="170"/>
      <c r="N384" s="170">
        <f ca="1">IFERROR(__xludf.DUMMYFUNCTION("IMPORTRANGE(""https://docs.google.com/spreadsheets/d/1XL5vhW3sbDhbH9Cz0tuDiY8C3ctxq1tqvaCgkFb8cCA/edit?usp=sharing"",""สกลนคร!M279"")"),0)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IFERROR(__xludf.DUMMYFUNCTION("IMPORTRANGE(""https://docs.google.com/spreadsheets/d/1XL5vhW3sbDhbH9Cz0tuDiY8C3ctxq1tqvaCgkFb8cCA/edit?usp=sharing"",""สกลนคร!L280"")"),460140)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IFERROR(__xludf.DUMMYFUNCTION("IMPORTRANGE(""https://docs.google.com/spreadsheets/d/1XL5vhW3sbDhbH9Cz0tuDiY8C3ctxq1tqvaCgkFb8cCA/edit?usp=sharing"",""สกลนคร!M280"")"),0)</f>
        <v>0</v>
      </c>
      <c r="O385" s="170">
        <f t="shared" ca="1" si="109"/>
        <v>0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IFERROR(__xludf.DUMMYFUNCTION("IMPORTRANGE(""https://docs.google.com/spreadsheets/d/1XL5vhW3sbDhbH9Cz0tuDiY8C3ctxq1tqvaCgkFb8cCA/edit?usp=sharing"",""สกลนคร!M281"")"),0)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IFERROR(__xludf.DUMMYFUNCTION("IMPORTRANGE(""https://docs.google.com/spreadsheets/d/1XL5vhW3sbDhbH9Cz0tuDiY8C3ctxq1tqvaCgkFb8cCA/edit?usp=sharing"",""สกลนคร!M284"")"),0)</f>
        <v>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IFERROR(__xludf.DUMMYFUNCTION("IMPORTRANGE(""https://docs.google.com/spreadsheets/d/1XL5vhW3sbDhbH9Cz0tuDiY8C3ctxq1tqvaCgkFb8cCA/edit?usp=sharing"",""สกลนคร!J286"")"),0)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IFERROR(__xludf.DUMMYFUNCTION("IMPORTRANGE(""https://docs.google.com/spreadsheets/d/1XL5vhW3sbDhbH9Cz0tuDiY8C3ctxq1tqvaCgkFb8cCA/edit?usp=sharing"",""สกลนคร!J287"")"),1)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IFERROR(__xludf.DUMMYFUNCTION("IMPORTRANGE(""https://docs.google.com/spreadsheets/d/1XL5vhW3sbDhbH9Cz0tuDiY8C3ctxq1tqvaCgkFb8cCA/edit?usp=sharing"",""สกลนคร!J288"")"),0)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IFERROR(__xludf.DUMMYFUNCTION("IMPORTRANGE(""https://docs.google.com/spreadsheets/d/1XL5vhW3sbDhbH9Cz0tuDiY8C3ctxq1tqvaCgkFb8cCA/edit?usp=sharing"",""สกลนคร!J289"")"),0)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IFERROR(__xludf.DUMMYFUNCTION("IMPORTRANGE(""https://docs.google.com/spreadsheets/d/1XL5vhW3sbDhbH9Cz0tuDiY8C3ctxq1tqvaCgkFb8cCA/edit?usp=sharing"",""สกลนคร!I291"")"),50)</f>
        <v>50</v>
      </c>
      <c r="J396" s="199">
        <f ca="1">IFERROR(__xludf.DUMMYFUNCTION("IMPORTRANGE(""https://docs.google.com/spreadsheets/d/1XL5vhW3sbDhbH9Cz0tuDiY8C3ctxq1tqvaCgkFb8cCA/edit?usp=sharing"",""สกลนคร!J291"")"),0)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IFERROR(__xludf.DUMMYFUNCTION("IMPORTRANGE(""https://docs.google.com/spreadsheets/d/1XL5vhW3sbDhbH9Cz0tuDiY8C3ctxq1tqvaCgkFb8cCA/edit?usp=sharing"",""สกลนคร!I292"")"),500)</f>
        <v>500</v>
      </c>
      <c r="J397" s="199">
        <f ca="1">IFERROR(__xludf.DUMMYFUNCTION("IMPORTRANGE(""https://docs.google.com/spreadsheets/d/1XL5vhW3sbDhbH9Cz0tuDiY8C3ctxq1tqvaCgkFb8cCA/edit?usp=sharing"",""สกลนคร!J292"")"),0)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IFERROR(__xludf.DUMMYFUNCTION("IMPORTRANGE(""https://docs.google.com/spreadsheets/d/1XL5vhW3sbDhbH9Cz0tuDiY8C3ctxq1tqvaCgkFb8cCA/edit?usp=sharing"",""สกลนคร!I293"")"),50)</f>
        <v>50</v>
      </c>
      <c r="J398" s="199">
        <f ca="1">IFERROR(__xludf.DUMMYFUNCTION("IMPORTRANGE(""https://docs.google.com/spreadsheets/d/1XL5vhW3sbDhbH9Cz0tuDiY8C3ctxq1tqvaCgkFb8cCA/edit?usp=sharing"",""สกลนคร!J293"")"),0)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IFERROR(__xludf.DUMMYFUNCTION("IMPORTRANGE(""https://docs.google.com/spreadsheets/d/1XL5vhW3sbDhbH9Cz0tuDiY8C3ctxq1tqvaCgkFb8cCA/edit?usp=sharing"",""สกลนคร!J294"")"),0)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IFERROR(__xludf.DUMMYFUNCTION("IMPORTRANGE(""https://docs.google.com/spreadsheets/d/1XL5vhW3sbDhbH9Cz0tuDiY8C3ctxq1tqvaCgkFb8cCA/edit?usp=sharing"",""สกลนคร!J296"")"),60)</f>
        <v>60</v>
      </c>
      <c r="K401" s="372">
        <f t="shared" ref="K401:K402" ca="1" si="111">IF(I401&gt;0,J401*100/I401,0)</f>
        <v>32.258064516129032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IFERROR(__xludf.DUMMYFUNCTION("IMPORTRANGE(""https://docs.google.com/spreadsheets/d/1XL5vhW3sbDhbH9Cz0tuDiY8C3ctxq1tqvaCgkFb8cCA/edit?usp=sharing"",""สกลนคร!M296"")"),74690.2)</f>
        <v>74690.2</v>
      </c>
      <c r="O401" s="373">
        <f ca="1">+IF(L401&gt;0,N401*100/L401,0)</f>
        <v>35.788308576904647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IFERROR(__xludf.DUMMYFUNCTION("IMPORTRANGE(""https://docs.google.com/spreadsheets/d/1XL5vhW3sbDhbH9Cz0tuDiY8C3ctxq1tqvaCgkFb8cCA/edit?usp=sharing"",""สกลนคร!J297"")"),20)</f>
        <v>20</v>
      </c>
      <c r="K402" s="372">
        <f t="shared" ca="1" si="111"/>
        <v>32.258064516129032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IFERROR(__xludf.DUMMYFUNCTION("IMPORTRANGE(""https://docs.google.com/spreadsheets/d/1XL5vhW3sbDhbH9Cz0tuDiY8C3ctxq1tqvaCgkFb8cCA/edit?usp=sharing"",""สกลนคร!L298"")"),0)</f>
        <v>0</v>
      </c>
      <c r="M403" s="166"/>
      <c r="N403" s="170">
        <f ca="1">IFERROR(__xludf.DUMMYFUNCTION("IMPORTRANGE(""https://docs.google.com/spreadsheets/d/1XL5vhW3sbDhbH9Cz0tuDiY8C3ctxq1tqvaCgkFb8cCA/edit?usp=sharing"",""สกลนคร!M298"")"),0)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IFERROR(__xludf.DUMMYFUNCTION("IMPORTRANGE(""https://docs.google.com/spreadsheets/d/1XL5vhW3sbDhbH9Cz0tuDiY8C3ctxq1tqvaCgkFb8cCA/edit?usp=sharing"",""สกลนคร!L299"")"),208700)</f>
        <v>208700</v>
      </c>
      <c r="M404" s="167"/>
      <c r="N404" s="170">
        <f ca="1">IFERROR(__xludf.DUMMYFUNCTION("IMPORTRANGE(""https://docs.google.com/spreadsheets/d/1XL5vhW3sbDhbH9Cz0tuDiY8C3ctxq1tqvaCgkFb8cCA/edit?usp=sharing"",""สกลนคร!M299"")"),74690.2)</f>
        <v>74690.2</v>
      </c>
      <c r="O404" s="170">
        <f t="shared" ca="1" si="112"/>
        <v>35.788308576904647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IFERROR(__xludf.DUMMYFUNCTION("IMPORTRANGE(""https://docs.google.com/spreadsheets/d/1XL5vhW3sbDhbH9Cz0tuDiY8C3ctxq1tqvaCgkFb8cCA/edit?usp=sharing"",""สกลนคร!L300"")"),0)</f>
        <v>0</v>
      </c>
      <c r="M405" s="170"/>
      <c r="N405" s="170">
        <f ca="1">IFERROR(__xludf.DUMMYFUNCTION("IMPORTRANGE(""https://docs.google.com/spreadsheets/d/1XL5vhW3sbDhbH9Cz0tuDiY8C3ctxq1tqvaCgkFb8cCA/edit?usp=sharing"",""สกลนคร!M300"")"),0)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IFERROR(__xludf.DUMMYFUNCTION("IMPORTRANGE(""https://docs.google.com/spreadsheets/d/1XL5vhW3sbDhbH9Cz0tuDiY8C3ctxq1tqvaCgkFb8cCA/edit?usp=sharing"",""สกลนคร!L301"")"),208700)</f>
        <v>208700</v>
      </c>
      <c r="M406" s="170"/>
      <c r="N406" s="170">
        <f ca="1">IFERROR(__xludf.DUMMYFUNCTION("IMPORTRANGE(""https://docs.google.com/spreadsheets/d/1XL5vhW3sbDhbH9Cz0tuDiY8C3ctxq1tqvaCgkFb8cCA/edit?usp=sharing"",""สกลนคร!M301"")"),74690.2)</f>
        <v>74690.2</v>
      </c>
      <c r="O406" s="170">
        <f t="shared" ca="1" si="112"/>
        <v>35.788308576904647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IFERROR(__xludf.DUMMYFUNCTION("IMPORTRANGE(""https://docs.google.com/spreadsheets/d/1XL5vhW3sbDhbH9Cz0tuDiY8C3ctxq1tqvaCgkFb8cCA/edit?usp=sharing"",""สกลนคร!M302"")"),73730.2)</f>
        <v>73730.2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IFERROR(__xludf.DUMMYFUNCTION("IMPORTRANGE(""https://docs.google.com/spreadsheets/d/1XL5vhW3sbDhbH9Cz0tuDiY8C3ctxq1tqvaCgkFb8cCA/edit?usp=sharing"",""สกลนคร!M303"")"),0)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IFERROR(__xludf.DUMMYFUNCTION("IMPORTRANGE(""https://docs.google.com/spreadsheets/d/1XL5vhW3sbDhbH9Cz0tuDiY8C3ctxq1tqvaCgkFb8cCA/edit?usp=sharing"",""สกลนคร!M305"")"),960)</f>
        <v>960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IFERROR(__xludf.DUMMYFUNCTION("IMPORTRANGE(""https://docs.google.com/spreadsheets/d/1XL5vhW3sbDhbH9Cz0tuDiY8C3ctxq1tqvaCgkFb8cCA/edit?usp=sharing"",""สกลนคร!J307"")"),0)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IFERROR(__xludf.DUMMYFUNCTION("IMPORTRANGE(""https://docs.google.com/spreadsheets/d/1XL5vhW3sbDhbH9Cz0tuDiY8C3ctxq1tqvaCgkFb8cCA/edit?usp=sharing"",""สกลนคร!J308"")"),1)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IFERROR(__xludf.DUMMYFUNCTION("IMPORTRANGE(""https://docs.google.com/spreadsheets/d/1XL5vhW3sbDhbH9Cz0tuDiY8C3ctxq1tqvaCgkFb8cCA/edit?usp=sharing"",""สกลนคร!J309"")"),1)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IFERROR(__xludf.DUMMYFUNCTION("IMPORTRANGE(""https://docs.google.com/spreadsheets/d/1XL5vhW3sbDhbH9Cz0tuDiY8C3ctxq1tqvaCgkFb8cCA/edit?usp=sharing"",""สกลนคร!J310"")"),1)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IFERROR(__xludf.DUMMYFUNCTION("IMPORTRANGE(""https://docs.google.com/spreadsheets/d/1XL5vhW3sbDhbH9Cz0tuDiY8C3ctxq1tqvaCgkFb8cCA/edit?usp=sharing"",""สกลนคร!I311"")"),62)</f>
        <v>62</v>
      </c>
      <c r="J416" s="202">
        <f ca="1">IFERROR(__xludf.DUMMYFUNCTION("IMPORTRANGE(""https://docs.google.com/spreadsheets/d/1XL5vhW3sbDhbH9Cz0tuDiY8C3ctxq1tqvaCgkFb8cCA/edit?usp=sharing"",""สกลนคร!J311"")"),20)</f>
        <v>20</v>
      </c>
      <c r="K416" s="203">
        <f t="shared" ref="K416:K432" ca="1" si="113">IF(I416&gt;0,J416*100/I416,0)</f>
        <v>32.258064516129032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IFERROR(__xludf.DUMMYFUNCTION("IMPORTRANGE(""https://docs.google.com/spreadsheets/d/1XL5vhW3sbDhbH9Cz0tuDiY8C3ctxq1tqvaCgkFb8cCA/edit?usp=sharing"",""สกลนคร!J318"")"),34)</f>
        <v>34</v>
      </c>
      <c r="K423" s="165">
        <f t="shared" ca="1" si="113"/>
        <v>113.33333333333333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IFERROR(__xludf.DUMMYFUNCTION("IMPORTRANGE(""https://docs.google.com/spreadsheets/d/1XL5vhW3sbDhbH9Cz0tuDiY8C3ctxq1tqvaCgkFb8cCA/edit?usp=sharing"",""สกลนคร!J319"")"),34)</f>
        <v>34</v>
      </c>
      <c r="K424" s="165">
        <f t="shared" ca="1" si="113"/>
        <v>113.33333333333333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IFERROR(__xludf.DUMMYFUNCTION("IMPORTRANGE(""https://docs.google.com/spreadsheets/d/1XL5vhW3sbDhbH9Cz0tuDiY8C3ctxq1tqvaCgkFb8cCA/edit?usp=sharing"",""สกลนคร!J328"")"),0)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IFERROR(__xludf.DUMMYFUNCTION("IMPORTRANGE(""https://docs.google.com/spreadsheets/d/1XL5vhW3sbDhbH9Cz0tuDiY8C3ctxq1tqvaCgkFb8cCA/edit?usp=sharing"",""สกลนคร!M330"")"),63240.44)</f>
        <v>63240.44</v>
      </c>
      <c r="O435" s="412">
        <f t="shared" ref="O435:O439" ca="1" si="114">+IF(L435&gt;0,N435*100/L435,0)</f>
        <v>52.264826446280992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IFERROR(__xludf.DUMMYFUNCTION("IMPORTRANGE(""https://docs.google.com/spreadsheets/d/1XL5vhW3sbDhbH9Cz0tuDiY8C3ctxq1tqvaCgkFb8cCA/edit?usp=sharing"",""สกลนคร!L331"")"),0)</f>
        <v>0</v>
      </c>
      <c r="M436" s="166"/>
      <c r="N436" s="170">
        <f ca="1">IFERROR(__xludf.DUMMYFUNCTION("IMPORTRANGE(""https://docs.google.com/spreadsheets/d/1XL5vhW3sbDhbH9Cz0tuDiY8C3ctxq1tqvaCgkFb8cCA/edit?usp=sharing"",""สกลนคร!M331"")"),0)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IFERROR(__xludf.DUMMYFUNCTION("IMPORTRANGE(""https://docs.google.com/spreadsheets/d/1XL5vhW3sbDhbH9Cz0tuDiY8C3ctxq1tqvaCgkFb8cCA/edit?usp=sharing"",""สกลนคร!L332"")"),121000)</f>
        <v>121000</v>
      </c>
      <c r="M437" s="167"/>
      <c r="N437" s="170">
        <f ca="1">IFERROR(__xludf.DUMMYFUNCTION("IMPORTRANGE(""https://docs.google.com/spreadsheets/d/1XL5vhW3sbDhbH9Cz0tuDiY8C3ctxq1tqvaCgkFb8cCA/edit?usp=sharing"",""สกลนคร!M332"")"),63240.44)</f>
        <v>63240.44</v>
      </c>
      <c r="O437" s="170">
        <f t="shared" ca="1" si="114"/>
        <v>52.264826446280992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IFERROR(__xludf.DUMMYFUNCTION("IMPORTRANGE(""https://docs.google.com/spreadsheets/d/1XL5vhW3sbDhbH9Cz0tuDiY8C3ctxq1tqvaCgkFb8cCA/edit?usp=sharing"",""สกลนคร!L333"")"),0)</f>
        <v>0</v>
      </c>
      <c r="M438" s="170"/>
      <c r="N438" s="170">
        <f ca="1">IFERROR(__xludf.DUMMYFUNCTION("IMPORTRANGE(""https://docs.google.com/spreadsheets/d/1XL5vhW3sbDhbH9Cz0tuDiY8C3ctxq1tqvaCgkFb8cCA/edit?usp=sharing"",""สกลนคร!M333"")"),0)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IFERROR(__xludf.DUMMYFUNCTION("IMPORTRANGE(""https://docs.google.com/spreadsheets/d/1XL5vhW3sbDhbH9Cz0tuDiY8C3ctxq1tqvaCgkFb8cCA/edit?usp=sharing"",""สกลนคร!L334"")"),121000)</f>
        <v>121000</v>
      </c>
      <c r="M439" s="170"/>
      <c r="N439" s="170">
        <f ca="1">IFERROR(__xludf.DUMMYFUNCTION("IMPORTRANGE(""https://docs.google.com/spreadsheets/d/1XL5vhW3sbDhbH9Cz0tuDiY8C3ctxq1tqvaCgkFb8cCA/edit?usp=sharing"",""สกลนคร!M334"")"),63240.44)</f>
        <v>63240.44</v>
      </c>
      <c r="O439" s="170">
        <f t="shared" ca="1" si="114"/>
        <v>52.264826446280992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IFERROR(__xludf.DUMMYFUNCTION("IMPORTRANGE(""https://docs.google.com/spreadsheets/d/1XL5vhW3sbDhbH9Cz0tuDiY8C3ctxq1tqvaCgkFb8cCA/edit?usp=sharing"",""สกลนคร!M335"")"),38104)</f>
        <v>38104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IFERROR(__xludf.DUMMYFUNCTION("IMPORTRANGE(""https://docs.google.com/spreadsheets/d/1XL5vhW3sbDhbH9Cz0tuDiY8C3ctxq1tqvaCgkFb8cCA/edit?usp=sharing"",""สกลนคร!M338"")"),25136.44)</f>
        <v>25136.44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IFERROR(__xludf.DUMMYFUNCTION("IMPORTRANGE(""https://docs.google.com/spreadsheets/d/1XL5vhW3sbDhbH9Cz0tuDiY8C3ctxq1tqvaCgkFb8cCA/edit?usp=sharing"",""สกลนคร!J342"")"),1)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IFERROR(__xludf.DUMMYFUNCTION("IMPORTRANGE(""https://docs.google.com/spreadsheets/d/1XL5vhW3sbDhbH9Cz0tuDiY8C3ctxq1tqvaCgkFb8cCA/edit?usp=sharing"",""สกลนคร!J343"")"),1)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2">
        <f ca="1">IFERROR(__xludf.DUMMYFUNCTION("IMPORTRANGE(""https://docs.google.com/spreadsheets/d/1XL5vhW3sbDhbH9Cz0tuDiY8C3ctxq1tqvaCgkFb8cCA/edit?usp=sharing"",""สกลนคร!J344"")"),30)</f>
        <v>30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IFERROR(__xludf.DUMMYFUNCTION("IMPORTRANGE(""https://docs.google.com/spreadsheets/d/1XL5vhW3sbDhbH9Cz0tuDiY8C3ctxq1tqvaCgkFb8cCA/edit?usp=sharing"",""สกลนคร!I345"")"),30)</f>
        <v>30</v>
      </c>
      <c r="J450" s="190">
        <f ca="1">IFERROR(__xludf.DUMMYFUNCTION("IMPORTRANGE(""https://docs.google.com/spreadsheets/d/1XL5vhW3sbDhbH9Cz0tuDiY8C3ctxq1tqvaCgkFb8cCA/edit?usp=sharing"",""สกลนคร!J345"")"),30)</f>
        <v>30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IFERROR(__xludf.DUMMYFUNCTION("IMPORTRANGE(""https://docs.google.com/spreadsheets/d/1XL5vhW3sbDhbH9Cz0tuDiY8C3ctxq1tqvaCgkFb8cCA/edit?usp=sharing"",""สกลนคร!I346"")"),0)</f>
        <v>0</v>
      </c>
      <c r="J451" s="189">
        <f ca="1">IFERROR(__xludf.DUMMYFUNCTION("IMPORTRANGE(""https://docs.google.com/spreadsheets/d/1XL5vhW3sbDhbH9Cz0tuDiY8C3ctxq1tqvaCgkFb8cCA/edit?usp=sharing"",""สกลนคร!J346"")"),0)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IFERROR(__xludf.DUMMYFUNCTION("IMPORTRANGE(""https://docs.google.com/spreadsheets/d/1XL5vhW3sbDhbH9Cz0tuDiY8C3ctxq1tqvaCgkFb8cCA/edit?usp=sharing"",""สกลนคร!I347"")"),0)</f>
        <v>0</v>
      </c>
      <c r="J452" s="189">
        <f ca="1">IFERROR(__xludf.DUMMYFUNCTION("IMPORTRANGE(""https://docs.google.com/spreadsheets/d/1XL5vhW3sbDhbH9Cz0tuDiY8C3ctxq1tqvaCgkFb8cCA/edit?usp=sharing"",""สกลนคร!J347"")"),0)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IFERROR(__xludf.DUMMYFUNCTION("IMPORTRANGE(""https://docs.google.com/spreadsheets/d/1XL5vhW3sbDhbH9Cz0tuDiY8C3ctxq1tqvaCgkFb8cCA/edit?usp=sharing"",""สกลนคร!J348"")"),0)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IFERROR(__xludf.DUMMYFUNCTION("IMPORTRANGE(""https://docs.google.com/spreadsheets/d/1XL5vhW3sbDhbH9Cz0tuDiY8C3ctxq1tqvaCgkFb8cCA/edit?usp=sharing"",""สกลนคร!L350"")"),585768)</f>
        <v>585768</v>
      </c>
      <c r="M455" s="373"/>
      <c r="N455" s="373">
        <f ca="1">IFERROR(__xludf.DUMMYFUNCTION("IMPORTRANGE(""https://docs.google.com/spreadsheets/d/1XL5vhW3sbDhbH9Cz0tuDiY8C3ctxq1tqvaCgkFb8cCA/edit?usp=sharing"",""สกลนคร!M350"")"),106411.13)</f>
        <v>106411.13</v>
      </c>
      <c r="O455" s="373">
        <f t="shared" ref="O455:O459" ca="1" si="116">+IF(L455&gt;0,N455*100/L455,0)</f>
        <v>18.1660879392524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IFERROR(__xludf.DUMMYFUNCTION("IMPORTRANGE(""https://docs.google.com/spreadsheets/d/1XL5vhW3sbDhbH9Cz0tuDiY8C3ctxq1tqvaCgkFb8cCA/edit?usp=sharing"",""สกลนคร!L351"")"),0)</f>
        <v>0</v>
      </c>
      <c r="M456" s="166"/>
      <c r="N456" s="170">
        <f ca="1">IFERROR(__xludf.DUMMYFUNCTION("IMPORTRANGE(""https://docs.google.com/spreadsheets/d/1XL5vhW3sbDhbH9Cz0tuDiY8C3ctxq1tqvaCgkFb8cCA/edit?usp=sharing"",""สกลนคร!M351"")"),0)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IFERROR(__xludf.DUMMYFUNCTION("IMPORTRANGE(""https://docs.google.com/spreadsheets/d/1XL5vhW3sbDhbH9Cz0tuDiY8C3ctxq1tqvaCgkFb8cCA/edit?usp=sharing"",""สกลนคร!L352"")"),585768)</f>
        <v>585768</v>
      </c>
      <c r="M457" s="167"/>
      <c r="N457" s="170">
        <f ca="1">IFERROR(__xludf.DUMMYFUNCTION("IMPORTRANGE(""https://docs.google.com/spreadsheets/d/1XL5vhW3sbDhbH9Cz0tuDiY8C3ctxq1tqvaCgkFb8cCA/edit?usp=sharing"",""สกลนคร!M352"")"),106411.13)</f>
        <v>106411.13</v>
      </c>
      <c r="O457" s="170">
        <f t="shared" ca="1" si="116"/>
        <v>18.1660879392524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IFERROR(__xludf.DUMMYFUNCTION("IMPORTRANGE(""https://docs.google.com/spreadsheets/d/1XL5vhW3sbDhbH9Cz0tuDiY8C3ctxq1tqvaCgkFb8cCA/edit?usp=sharing"",""สกลนคร!L353"")"),0)</f>
        <v>0</v>
      </c>
      <c r="M458" s="170"/>
      <c r="N458" s="170">
        <f ca="1">IFERROR(__xludf.DUMMYFUNCTION("IMPORTRANGE(""https://docs.google.com/spreadsheets/d/1XL5vhW3sbDhbH9Cz0tuDiY8C3ctxq1tqvaCgkFb8cCA/edit?usp=sharing"",""สกลนคร!M353"")"),0)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IFERROR(__xludf.DUMMYFUNCTION("IMPORTRANGE(""https://docs.google.com/spreadsheets/d/1XL5vhW3sbDhbH9Cz0tuDiY8C3ctxq1tqvaCgkFb8cCA/edit?usp=sharing"",""สกลนคร!L354"")"),585768)</f>
        <v>585768</v>
      </c>
      <c r="M459" s="170"/>
      <c r="N459" s="170">
        <f ca="1">IFERROR(__xludf.DUMMYFUNCTION("IMPORTRANGE(""https://docs.google.com/spreadsheets/d/1XL5vhW3sbDhbH9Cz0tuDiY8C3ctxq1tqvaCgkFb8cCA/edit?usp=sharing"",""สกลนคร!M354"")"),106411.13)</f>
        <v>106411.13</v>
      </c>
      <c r="O459" s="170">
        <f t="shared" ca="1" si="116"/>
        <v>18.1660879392524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IFERROR(__xludf.DUMMYFUNCTION("IMPORTRANGE(""https://docs.google.com/spreadsheets/d/1XL5vhW3sbDhbH9Cz0tuDiY8C3ctxq1tqvaCgkFb8cCA/edit?usp=sharing"",""สกลนคร!M355"")"),0)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IFERROR(__xludf.DUMMYFUNCTION("IMPORTRANGE(""https://docs.google.com/spreadsheets/d/1XL5vhW3sbDhbH9Cz0tuDiY8C3ctxq1tqvaCgkFb8cCA/edit?usp=sharing"",""สกลนคร!M356"")"),0)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IFERROR(__xludf.DUMMYFUNCTION("IMPORTRANGE(""https://docs.google.com/spreadsheets/d/1XL5vhW3sbDhbH9Cz0tuDiY8C3ctxq1tqvaCgkFb8cCA/edit?usp=sharing"",""สกลนคร!M357"")"),54609.83)</f>
        <v>54609.83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IFERROR(__xludf.DUMMYFUNCTION("IMPORTRANGE(""https://docs.google.com/spreadsheets/d/1XL5vhW3sbDhbH9Cz0tuDiY8C3ctxq1tqvaCgkFb8cCA/edit?usp=sharing"",""สกลนคร!M358"")"),51801.3)</f>
        <v>51801.3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IFERROR(__xludf.DUMMYFUNCTION("IMPORTRANGE(""https://docs.google.com/spreadsheets/d/1XL5vhW3sbDhbH9Cz0tuDiY8C3ctxq1tqvaCgkFb8cCA/edit?usp=sharing"",""สกลนคร!J360"")"),18520)</f>
        <v>18520</v>
      </c>
      <c r="K465" s="203">
        <f t="shared" ca="1" si="117"/>
        <v>40.292402749978244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IFERROR(__xludf.DUMMYFUNCTION("IMPORTRANGE(""https://docs.google.com/spreadsheets/d/1XL5vhW3sbDhbH9Cz0tuDiY8C3ctxq1tqvaCgkFb8cCA/edit?usp=sharing"",""สกลนคร!J361"")"),2550)</f>
        <v>2550</v>
      </c>
      <c r="K466" s="203">
        <f t="shared" ca="1" si="117"/>
        <v>44.316996871741395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IFERROR(__xludf.DUMMYFUNCTION("IMPORTRANGE(""https://docs.google.com/spreadsheets/d/1XL5vhW3sbDhbH9Cz0tuDiY8C3ctxq1tqvaCgkFb8cCA/edit?usp=sharing"",""สกลนคร!I362"")"),0)</f>
        <v>0</v>
      </c>
      <c r="J467" s="190">
        <f ca="1">IFERROR(__xludf.DUMMYFUNCTION("IMPORTRANGE(""https://docs.google.com/spreadsheets/d/1XL5vhW3sbDhbH9Cz0tuDiY8C3ctxq1tqvaCgkFb8cCA/edit?usp=sharing"",""สกลนคร!J362"")"),14858)</f>
        <v>14858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IFERROR(__xludf.DUMMYFUNCTION("IMPORTRANGE(""https://docs.google.com/spreadsheets/d/1XL5vhW3sbDhbH9Cz0tuDiY8C3ctxq1tqvaCgkFb8cCA/edit?usp=sharing"",""สกลนคร!I363"")"),0)</f>
        <v>0</v>
      </c>
      <c r="J468" s="190">
        <f ca="1">IFERROR(__xludf.DUMMYFUNCTION("IMPORTRANGE(""https://docs.google.com/spreadsheets/d/1XL5vhW3sbDhbH9Cz0tuDiY8C3ctxq1tqvaCgkFb8cCA/edit?usp=sharing"",""สกลนคร!J363"")"),2199)</f>
        <v>2199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IFERROR(__xludf.DUMMYFUNCTION("IMPORTRANGE(""https://docs.google.com/spreadsheets/d/1XL5vhW3sbDhbH9Cz0tuDiY8C3ctxq1tqvaCgkFb8cCA/edit?usp=sharing"",""สกลนคร!I364"")"),0)</f>
        <v>0</v>
      </c>
      <c r="J469" s="190">
        <f ca="1">IFERROR(__xludf.DUMMYFUNCTION("IMPORTRANGE(""https://docs.google.com/spreadsheets/d/1XL5vhW3sbDhbH9Cz0tuDiY8C3ctxq1tqvaCgkFb8cCA/edit?usp=sharing"",""สกลนคร!J364"")"),3257)</f>
        <v>3257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IFERROR(__xludf.DUMMYFUNCTION("IMPORTRANGE(""https://docs.google.com/spreadsheets/d/1XL5vhW3sbDhbH9Cz0tuDiY8C3ctxq1tqvaCgkFb8cCA/edit?usp=sharing"",""สกลนคร!I365"")"),0)</f>
        <v>0</v>
      </c>
      <c r="J470" s="190">
        <f ca="1">IFERROR(__xludf.DUMMYFUNCTION("IMPORTRANGE(""https://docs.google.com/spreadsheets/d/1XL5vhW3sbDhbH9Cz0tuDiY8C3ctxq1tqvaCgkFb8cCA/edit?usp=sharing"",""สกลนคร!J365"")"),303)</f>
        <v>303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IFERROR(__xludf.DUMMYFUNCTION("IMPORTRANGE(""https://docs.google.com/spreadsheets/d/1XL5vhW3sbDhbH9Cz0tuDiY8C3ctxq1tqvaCgkFb8cCA/edit?usp=sharing"",""สกลนคร!I366"")"),0)</f>
        <v>0</v>
      </c>
      <c r="J471" s="190">
        <f ca="1">IFERROR(__xludf.DUMMYFUNCTION("IMPORTRANGE(""https://docs.google.com/spreadsheets/d/1XL5vhW3sbDhbH9Cz0tuDiY8C3ctxq1tqvaCgkFb8cCA/edit?usp=sharing"",""สกลนคร!J366"")"),405)</f>
        <v>405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IFERROR(__xludf.DUMMYFUNCTION("IMPORTRANGE(""https://docs.google.com/spreadsheets/d/1XL5vhW3sbDhbH9Cz0tuDiY8C3ctxq1tqvaCgkFb8cCA/edit?usp=sharing"",""สกลนคร!I367"")"),0)</f>
        <v>0</v>
      </c>
      <c r="J472" s="190">
        <f ca="1">IFERROR(__xludf.DUMMYFUNCTION("IMPORTRANGE(""https://docs.google.com/spreadsheets/d/1XL5vhW3sbDhbH9Cz0tuDiY8C3ctxq1tqvaCgkFb8cCA/edit?usp=sharing"",""สกลนคร!J367"")"),48)</f>
        <v>48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IFERROR(__xludf.DUMMYFUNCTION("IMPORTRANGE(""https://docs.google.com/spreadsheets/d/1XL5vhW3sbDhbH9Cz0tuDiY8C3ctxq1tqvaCgkFb8cCA/edit?usp=sharing"",""สกลนคร!I370"")"),0)</f>
        <v>0</v>
      </c>
      <c r="J475" s="190">
        <f ca="1">IFERROR(__xludf.DUMMYFUNCTION("IMPORTRANGE(""https://docs.google.com/spreadsheets/d/1XL5vhW3sbDhbH9Cz0tuDiY8C3ctxq1tqvaCgkFb8cCA/edit?usp=sharing"",""สกลนคร!J370"")"),0)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IFERROR(__xludf.DUMMYFUNCTION("IMPORTRANGE(""https://docs.google.com/spreadsheets/d/1XL5vhW3sbDhbH9Cz0tuDiY8C3ctxq1tqvaCgkFb8cCA/edit?usp=sharing"",""สกลนคร!I371"")"),0)</f>
        <v>0</v>
      </c>
      <c r="J476" s="190">
        <f ca="1">IFERROR(__xludf.DUMMYFUNCTION("IMPORTRANGE(""https://docs.google.com/spreadsheets/d/1XL5vhW3sbDhbH9Cz0tuDiY8C3ctxq1tqvaCgkFb8cCA/edit?usp=sharing"",""สกลนคร!J371"")"),0)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IFERROR(__xludf.DUMMYFUNCTION("IMPORTRANGE(""https://docs.google.com/spreadsheets/d/1XL5vhW3sbDhbH9Cz0tuDiY8C3ctxq1tqvaCgkFb8cCA/edit?usp=sharing"",""สกลนคร!I372"")"),0)</f>
        <v>0</v>
      </c>
      <c r="J477" s="190">
        <f ca="1">IFERROR(__xludf.DUMMYFUNCTION("IMPORTRANGE(""https://docs.google.com/spreadsheets/d/1XL5vhW3sbDhbH9Cz0tuDiY8C3ctxq1tqvaCgkFb8cCA/edit?usp=sharing"",""สกลนคร!J372"")"),0)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IFERROR(__xludf.DUMMYFUNCTION("IMPORTRANGE(""https://docs.google.com/spreadsheets/d/1XL5vhW3sbDhbH9Cz0tuDiY8C3ctxq1tqvaCgkFb8cCA/edit?usp=sharing"",""สกลนคร!I373"")"),0)</f>
        <v>0</v>
      </c>
      <c r="J478" s="190">
        <f ca="1">IFERROR(__xludf.DUMMYFUNCTION("IMPORTRANGE(""https://docs.google.com/spreadsheets/d/1XL5vhW3sbDhbH9Cz0tuDiY8C3ctxq1tqvaCgkFb8cCA/edit?usp=sharing"",""สกลนคร!J373"")"),0)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IFERROR(__xludf.DUMMYFUNCTION("IMPORTRANGE(""https://docs.google.com/spreadsheets/d/1XL5vhW3sbDhbH9Cz0tuDiY8C3ctxq1tqvaCgkFb8cCA/edit?usp=sharing"",""สกลนคร!I374"")"),0)</f>
        <v>0</v>
      </c>
      <c r="J479" s="190">
        <f ca="1">IFERROR(__xludf.DUMMYFUNCTION("IMPORTRANGE(""https://docs.google.com/spreadsheets/d/1XL5vhW3sbDhbH9Cz0tuDiY8C3ctxq1tqvaCgkFb8cCA/edit?usp=sharing"",""สกลนคร!J374"")"),0)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IFERROR(__xludf.DUMMYFUNCTION("IMPORTRANGE(""https://docs.google.com/spreadsheets/d/1XL5vhW3sbDhbH9Cz0tuDiY8C3ctxq1tqvaCgkFb8cCA/edit?usp=sharing"",""สกลนคร!I375"")"),0)</f>
        <v>0</v>
      </c>
      <c r="J480" s="190">
        <f ca="1">IFERROR(__xludf.DUMMYFUNCTION("IMPORTRANGE(""https://docs.google.com/spreadsheets/d/1XL5vhW3sbDhbH9Cz0tuDiY8C3ctxq1tqvaCgkFb8cCA/edit?usp=sharing"",""สกลนคร!J375"")"),0)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IFERROR(__xludf.DUMMYFUNCTION("IMPORTRANGE(""https://docs.google.com/spreadsheets/d/1XL5vhW3sbDhbH9Cz0tuDiY8C3ctxq1tqvaCgkFb8cCA/edit?usp=sharing"",""สกลนคร!I378"")"),0)</f>
        <v>0</v>
      </c>
      <c r="J483" s="190">
        <f ca="1">IFERROR(__xludf.DUMMYFUNCTION("IMPORTRANGE(""https://docs.google.com/spreadsheets/d/1XL5vhW3sbDhbH9Cz0tuDiY8C3ctxq1tqvaCgkFb8cCA/edit?usp=sharing"",""สกลนคร!J378"")"),0)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IFERROR(__xludf.DUMMYFUNCTION("IMPORTRANGE(""https://docs.google.com/spreadsheets/d/1XL5vhW3sbDhbH9Cz0tuDiY8C3ctxq1tqvaCgkFb8cCA/edit?usp=sharing"",""สกลนคร!I379"")"),0)</f>
        <v>0</v>
      </c>
      <c r="J484" s="190">
        <f ca="1">IFERROR(__xludf.DUMMYFUNCTION("IMPORTRANGE(""https://docs.google.com/spreadsheets/d/1XL5vhW3sbDhbH9Cz0tuDiY8C3ctxq1tqvaCgkFb8cCA/edit?usp=sharing"",""สกลนคร!J379"")"),0)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IFERROR(__xludf.DUMMYFUNCTION("IMPORTRANGE(""https://docs.google.com/spreadsheets/d/1XL5vhW3sbDhbH9Cz0tuDiY8C3ctxq1tqvaCgkFb8cCA/edit?usp=sharing"",""สกลนคร!I380"")"),0)</f>
        <v>0</v>
      </c>
      <c r="J485" s="190">
        <f ca="1">IFERROR(__xludf.DUMMYFUNCTION("IMPORTRANGE(""https://docs.google.com/spreadsheets/d/1XL5vhW3sbDhbH9Cz0tuDiY8C3ctxq1tqvaCgkFb8cCA/edit?usp=sharing"",""สกลนคร!J380"")"),0)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IFERROR(__xludf.DUMMYFUNCTION("IMPORTRANGE(""https://docs.google.com/spreadsheets/d/1XL5vhW3sbDhbH9Cz0tuDiY8C3ctxq1tqvaCgkFb8cCA/edit?usp=sharing"",""สกลนคร!I381"")"),0)</f>
        <v>0</v>
      </c>
      <c r="J486" s="190">
        <f ca="1">IFERROR(__xludf.DUMMYFUNCTION("IMPORTRANGE(""https://docs.google.com/spreadsheets/d/1XL5vhW3sbDhbH9Cz0tuDiY8C3ctxq1tqvaCgkFb8cCA/edit?usp=sharing"",""สกลนคร!J381"")"),0)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IFERROR(__xludf.DUMMYFUNCTION("IMPORTRANGE(""https://docs.google.com/spreadsheets/d/1XL5vhW3sbDhbH9Cz0tuDiY8C3ctxq1tqvaCgkFb8cCA/edit?usp=sharing"",""สกลนคร!I384"")"),0)</f>
        <v>0</v>
      </c>
      <c r="J489" s="190">
        <f ca="1">IFERROR(__xludf.DUMMYFUNCTION("IMPORTRANGE(""https://docs.google.com/spreadsheets/d/1XL5vhW3sbDhbH9Cz0tuDiY8C3ctxq1tqvaCgkFb8cCA/edit?usp=sharing"",""สกลนคร!J384"")"),0)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IFERROR(__xludf.DUMMYFUNCTION("IMPORTRANGE(""https://docs.google.com/spreadsheets/d/1XL5vhW3sbDhbH9Cz0tuDiY8C3ctxq1tqvaCgkFb8cCA/edit?usp=sharing"",""สกลนคร!I385"")"),0)</f>
        <v>0</v>
      </c>
      <c r="J490" s="190">
        <f ca="1">IFERROR(__xludf.DUMMYFUNCTION("IMPORTRANGE(""https://docs.google.com/spreadsheets/d/1XL5vhW3sbDhbH9Cz0tuDiY8C3ctxq1tqvaCgkFb8cCA/edit?usp=sharing"",""สกลนคร!J385"")"),0)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IFERROR(__xludf.DUMMYFUNCTION("IMPORTRANGE(""https://docs.google.com/spreadsheets/d/1XL5vhW3sbDhbH9Cz0tuDiY8C3ctxq1tqvaCgkFb8cCA/edit?usp=sharing"",""สกลนคร!I386"")"),0)</f>
        <v>0</v>
      </c>
      <c r="J491" s="190">
        <f ca="1">IFERROR(__xludf.DUMMYFUNCTION("IMPORTRANGE(""https://docs.google.com/spreadsheets/d/1XL5vhW3sbDhbH9Cz0tuDiY8C3ctxq1tqvaCgkFb8cCA/edit?usp=sharing"",""สกลนคร!J386"")"),0)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IFERROR(__xludf.DUMMYFUNCTION("IMPORTRANGE(""https://docs.google.com/spreadsheets/d/1XL5vhW3sbDhbH9Cz0tuDiY8C3ctxq1tqvaCgkFb8cCA/edit?usp=sharing"",""สกลนคร!I387"")"),0)</f>
        <v>0</v>
      </c>
      <c r="J492" s="190">
        <f ca="1">IFERROR(__xludf.DUMMYFUNCTION("IMPORTRANGE(""https://docs.google.com/spreadsheets/d/1XL5vhW3sbDhbH9Cz0tuDiY8C3ctxq1tqvaCgkFb8cCA/edit?usp=sharing"",""สกลนคร!J387"")"),0)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IFERROR(__xludf.DUMMYFUNCTION("IMPORTRANGE(""https://docs.google.com/spreadsheets/d/1XL5vhW3sbDhbH9Cz0tuDiY8C3ctxq1tqvaCgkFb8cCA/edit?usp=sharing"",""สกลนคร!I388"")"),0)</f>
        <v>0</v>
      </c>
      <c r="J493" s="190">
        <f ca="1">IFERROR(__xludf.DUMMYFUNCTION("IMPORTRANGE(""https://docs.google.com/spreadsheets/d/1XL5vhW3sbDhbH9Cz0tuDiY8C3ctxq1tqvaCgkFb8cCA/edit?usp=sharing"",""สกลนคร!J388"")"),0)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IFERROR(__xludf.DUMMYFUNCTION("IMPORTRANGE(""https://docs.google.com/spreadsheets/d/1XL5vhW3sbDhbH9Cz0tuDiY8C3ctxq1tqvaCgkFb8cCA/edit?usp=sharing"",""สกลนคร!J392"")"),1131)</f>
        <v>1131</v>
      </c>
      <c r="K497" s="444">
        <f t="shared" ca="1" si="117"/>
        <v>33.761194029850749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IFERROR(__xludf.DUMMYFUNCTION("IMPORTRANGE(""https://docs.google.com/spreadsheets/d/1XL5vhW3sbDhbH9Cz0tuDiY8C3ctxq1tqvaCgkFb8cCA/edit?usp=sharing"",""สกลนคร!J393"")"),1131)</f>
        <v>1131</v>
      </c>
      <c r="K498" s="165">
        <f t="shared" ca="1" si="117"/>
        <v>33.761194029850749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IFERROR(__xludf.DUMMYFUNCTION("IMPORTRANGE(""https://docs.google.com/spreadsheets/d/1XL5vhW3sbDhbH9Cz0tuDiY8C3ctxq1tqvaCgkFb8cCA/edit?usp=sharing"",""สกลนคร!J394"")"),112)</f>
        <v>112</v>
      </c>
      <c r="K499" s="203">
        <f t="shared" ca="1" si="117"/>
        <v>30.601092896174862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IFERROR(__xludf.DUMMYFUNCTION("IMPORTRANGE(""https://docs.google.com/spreadsheets/d/1XL5vhW3sbDhbH9Cz0tuDiY8C3ctxq1tqvaCgkFb8cCA/edit?usp=sharing"",""สกลนคร!I395"")"),0)</f>
        <v>0</v>
      </c>
      <c r="J500" s="164">
        <f ca="1">IFERROR(__xludf.DUMMYFUNCTION("IMPORTRANGE(""https://docs.google.com/spreadsheets/d/1XL5vhW3sbDhbH9Cz0tuDiY8C3ctxq1tqvaCgkFb8cCA/edit?usp=sharing"",""สกลนคร!J395"")"),1131)</f>
        <v>1131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IFERROR(__xludf.DUMMYFUNCTION("IMPORTRANGE(""https://docs.google.com/spreadsheets/d/1XL5vhW3sbDhbH9Cz0tuDiY8C3ctxq1tqvaCgkFb8cCA/edit?usp=sharing"",""สกลนคร!I396"")"),0)</f>
        <v>0</v>
      </c>
      <c r="J501" s="164">
        <f ca="1">IFERROR(__xludf.DUMMYFUNCTION("IMPORTRANGE(""https://docs.google.com/spreadsheets/d/1XL5vhW3sbDhbH9Cz0tuDiY8C3ctxq1tqvaCgkFb8cCA/edit?usp=sharing"",""สกลนคร!J396"")"),112)</f>
        <v>112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IFERROR(__xludf.DUMMYFUNCTION("IMPORTRANGE(""https://docs.google.com/spreadsheets/d/1XL5vhW3sbDhbH9Cz0tuDiY8C3ctxq1tqvaCgkFb8cCA/edit?usp=sharing"",""สกลนคร!I397"")"),0)</f>
        <v>0</v>
      </c>
      <c r="J502" s="190">
        <f ca="1">IFERROR(__xludf.DUMMYFUNCTION("IMPORTRANGE(""https://docs.google.com/spreadsheets/d/1XL5vhW3sbDhbH9Cz0tuDiY8C3ctxq1tqvaCgkFb8cCA/edit?usp=sharing"",""สกลนคร!J397"")"),1097)</f>
        <v>1097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IFERROR(__xludf.DUMMYFUNCTION("IMPORTRANGE(""https://docs.google.com/spreadsheets/d/1XL5vhW3sbDhbH9Cz0tuDiY8C3ctxq1tqvaCgkFb8cCA/edit?usp=sharing"",""สกลนคร!I398"")"),0)</f>
        <v>0</v>
      </c>
      <c r="J503" s="199">
        <f ca="1">IFERROR(__xludf.DUMMYFUNCTION("IMPORTRANGE(""https://docs.google.com/spreadsheets/d/1XL5vhW3sbDhbH9Cz0tuDiY8C3ctxq1tqvaCgkFb8cCA/edit?usp=sharing"",""สกลนคร!J398"")"),107)</f>
        <v>107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IFERROR(__xludf.DUMMYFUNCTION("IMPORTRANGE(""https://docs.google.com/spreadsheets/d/1XL5vhW3sbDhbH9Cz0tuDiY8C3ctxq1tqvaCgkFb8cCA/edit?usp=sharing"",""สกลนคร!I399"")"),0)</f>
        <v>0</v>
      </c>
      <c r="J504" s="190">
        <f ca="1">IFERROR(__xludf.DUMMYFUNCTION("IMPORTRANGE(""https://docs.google.com/spreadsheets/d/1XL5vhW3sbDhbH9Cz0tuDiY8C3ctxq1tqvaCgkFb8cCA/edit?usp=sharing"",""สกลนคร!J399"")"),34)</f>
        <v>34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IFERROR(__xludf.DUMMYFUNCTION("IMPORTRANGE(""https://docs.google.com/spreadsheets/d/1XL5vhW3sbDhbH9Cz0tuDiY8C3ctxq1tqvaCgkFb8cCA/edit?usp=sharing"",""สกลนคร!I400"")"),0)</f>
        <v>0</v>
      </c>
      <c r="J505" s="199">
        <f ca="1">IFERROR(__xludf.DUMMYFUNCTION("IMPORTRANGE(""https://docs.google.com/spreadsheets/d/1XL5vhW3sbDhbH9Cz0tuDiY8C3ctxq1tqvaCgkFb8cCA/edit?usp=sharing"",""สกลนคร!J400"")"),5)</f>
        <v>5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IFERROR(__xludf.DUMMYFUNCTION("IMPORTRANGE(""https://docs.google.com/spreadsheets/d/1XL5vhW3sbDhbH9Cz0tuDiY8C3ctxq1tqvaCgkFb8cCA/edit?usp=sharing"",""สกลนคร!I401"")"),0)</f>
        <v>0</v>
      </c>
      <c r="J506" s="190">
        <f ca="1">IFERROR(__xludf.DUMMYFUNCTION("IMPORTRANGE(""https://docs.google.com/spreadsheets/d/1XL5vhW3sbDhbH9Cz0tuDiY8C3ctxq1tqvaCgkFb8cCA/edit?usp=sharing"",""สกลนคร!J401"")"),0)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IFERROR(__xludf.DUMMYFUNCTION("IMPORTRANGE(""https://docs.google.com/spreadsheets/d/1XL5vhW3sbDhbH9Cz0tuDiY8C3ctxq1tqvaCgkFb8cCA/edit?usp=sharing"",""สกลนคร!I402"")"),0)</f>
        <v>0</v>
      </c>
      <c r="J507" s="199">
        <f ca="1">IFERROR(__xludf.DUMMYFUNCTION("IMPORTRANGE(""https://docs.google.com/spreadsheets/d/1XL5vhW3sbDhbH9Cz0tuDiY8C3ctxq1tqvaCgkFb8cCA/edit?usp=sharing"",""สกลนคร!J402"")"),0)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IFERROR(__xludf.DUMMYFUNCTION("IMPORTRANGE(""https://docs.google.com/spreadsheets/d/1XL5vhW3sbDhbH9Cz0tuDiY8C3ctxq1tqvaCgkFb8cCA/edit?usp=sharing"",""สกลนคร!I403"")"),0)</f>
        <v>0</v>
      </c>
      <c r="J508" s="164">
        <f ca="1">IFERROR(__xludf.DUMMYFUNCTION("IMPORTRANGE(""https://docs.google.com/spreadsheets/d/1XL5vhW3sbDhbH9Cz0tuDiY8C3ctxq1tqvaCgkFb8cCA/edit?usp=sharing"",""สกลนคร!J403"")"),0)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IFERROR(__xludf.DUMMYFUNCTION("IMPORTRANGE(""https://docs.google.com/spreadsheets/d/1XL5vhW3sbDhbH9Cz0tuDiY8C3ctxq1tqvaCgkFb8cCA/edit?usp=sharing"",""สกลนคร!I404"")"),0)</f>
        <v>0</v>
      </c>
      <c r="J509" s="164">
        <f ca="1">IFERROR(__xludf.DUMMYFUNCTION("IMPORTRANGE(""https://docs.google.com/spreadsheets/d/1XL5vhW3sbDhbH9Cz0tuDiY8C3ctxq1tqvaCgkFb8cCA/edit?usp=sharing"",""สกลนคร!J404"")"),0)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IFERROR(__xludf.DUMMYFUNCTION("IMPORTRANGE(""https://docs.google.com/spreadsheets/d/1XL5vhW3sbDhbH9Cz0tuDiY8C3ctxq1tqvaCgkFb8cCA/edit?usp=sharing"",""สกลนคร!I405"")"),0)</f>
        <v>0</v>
      </c>
      <c r="J510" s="199">
        <f ca="1">IFERROR(__xludf.DUMMYFUNCTION("IMPORTRANGE(""https://docs.google.com/spreadsheets/d/1XL5vhW3sbDhbH9Cz0tuDiY8C3ctxq1tqvaCgkFb8cCA/edit?usp=sharing"",""สกลนคร!J405"")"),0)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IFERROR(__xludf.DUMMYFUNCTION("IMPORTRANGE(""https://docs.google.com/spreadsheets/d/1XL5vhW3sbDhbH9Cz0tuDiY8C3ctxq1tqvaCgkFb8cCA/edit?usp=sharing"",""สกลนคร!I406"")"),0)</f>
        <v>0</v>
      </c>
      <c r="J511" s="199">
        <f ca="1">IFERROR(__xludf.DUMMYFUNCTION("IMPORTRANGE(""https://docs.google.com/spreadsheets/d/1XL5vhW3sbDhbH9Cz0tuDiY8C3ctxq1tqvaCgkFb8cCA/edit?usp=sharing"",""สกลนคร!J406"")"),0)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IFERROR(__xludf.DUMMYFUNCTION("IMPORTRANGE(""https://docs.google.com/spreadsheets/d/1XL5vhW3sbDhbH9Cz0tuDiY8C3ctxq1tqvaCgkFb8cCA/edit?usp=sharing"",""สกลนคร!I407"")"),0)</f>
        <v>0</v>
      </c>
      <c r="J512" s="199">
        <f ca="1">IFERROR(__xludf.DUMMYFUNCTION("IMPORTRANGE(""https://docs.google.com/spreadsheets/d/1XL5vhW3sbDhbH9Cz0tuDiY8C3ctxq1tqvaCgkFb8cCA/edit?usp=sharing"",""สกลนคร!J407"")"),0)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IFERROR(__xludf.DUMMYFUNCTION("IMPORTRANGE(""https://docs.google.com/spreadsheets/d/1XL5vhW3sbDhbH9Cz0tuDiY8C3ctxq1tqvaCgkFb8cCA/edit?usp=sharing"",""สกลนคร!I408"")"),0)</f>
        <v>0</v>
      </c>
      <c r="J513" s="199">
        <f ca="1">IFERROR(__xludf.DUMMYFUNCTION("IMPORTRANGE(""https://docs.google.com/spreadsheets/d/1XL5vhW3sbDhbH9Cz0tuDiY8C3ctxq1tqvaCgkFb8cCA/edit?usp=sharing"",""สกลนคร!J408"")"),0)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IFERROR(__xludf.DUMMYFUNCTION("IMPORTRANGE(""https://docs.google.com/spreadsheets/d/1XL5vhW3sbDhbH9Cz0tuDiY8C3ctxq1tqvaCgkFb8cCA/edit?usp=sharing"",""สกลนคร!I409"")"),0)</f>
        <v>0</v>
      </c>
      <c r="J514" s="199">
        <f ca="1">IFERROR(__xludf.DUMMYFUNCTION("IMPORTRANGE(""https://docs.google.com/spreadsheets/d/1XL5vhW3sbDhbH9Cz0tuDiY8C3ctxq1tqvaCgkFb8cCA/edit?usp=sharing"",""สกลนคร!J409"")"),0)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IFERROR(__xludf.DUMMYFUNCTION("IMPORTRANGE(""https://docs.google.com/spreadsheets/d/1XL5vhW3sbDhbH9Cz0tuDiY8C3ctxq1tqvaCgkFb8cCA/edit?usp=sharing"",""สกลนคร!I410"")"),0)</f>
        <v>0</v>
      </c>
      <c r="J515" s="199">
        <f ca="1">IFERROR(__xludf.DUMMYFUNCTION("IMPORTRANGE(""https://docs.google.com/spreadsheets/d/1XL5vhW3sbDhbH9Cz0tuDiY8C3ctxq1tqvaCgkFb8cCA/edit?usp=sharing"",""สกลนคร!J410"")"),0)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IFERROR(__xludf.DUMMYFUNCTION("IMPORTRANGE(""https://docs.google.com/spreadsheets/d/1XL5vhW3sbDhbH9Cz0tuDiY8C3ctxq1tqvaCgkFb8cCA/edit?usp=sharing"",""สกลนคร!I412"")"),0)</f>
        <v>0</v>
      </c>
      <c r="J517" s="284">
        <f ca="1">IFERROR(__xludf.DUMMYFUNCTION("IMPORTRANGE(""https://docs.google.com/spreadsheets/d/1XL5vhW3sbDhbH9Cz0tuDiY8C3ctxq1tqvaCgkFb8cCA/edit?usp=sharing"",""สกลนคร!J412"")"),0)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IFERROR(__xludf.DUMMYFUNCTION("IMPORTRANGE(""https://docs.google.com/spreadsheets/d/1XL5vhW3sbDhbH9Cz0tuDiY8C3ctxq1tqvaCgkFb8cCA/edit?usp=sharing"",""สกลนคร!I413"")"),0)</f>
        <v>0</v>
      </c>
      <c r="J518" s="284">
        <f ca="1">IFERROR(__xludf.DUMMYFUNCTION("IMPORTRANGE(""https://docs.google.com/spreadsheets/d/1XL5vhW3sbDhbH9Cz0tuDiY8C3ctxq1tqvaCgkFb8cCA/edit?usp=sharing"",""สกลนคร!J413"")"),0)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IFERROR(__xludf.DUMMYFUNCTION("IMPORTRANGE(""https://docs.google.com/spreadsheets/d/1XL5vhW3sbDhbH9Cz0tuDiY8C3ctxq1tqvaCgkFb8cCA/edit?usp=sharing"",""สกลนคร!I414"")"),0)</f>
        <v>0</v>
      </c>
      <c r="J519" s="189">
        <f ca="1">IFERROR(__xludf.DUMMYFUNCTION("IMPORTRANGE(""https://docs.google.com/spreadsheets/d/1XL5vhW3sbDhbH9Cz0tuDiY8C3ctxq1tqvaCgkFb8cCA/edit?usp=sharing"",""สกลนคร!J414"")"),0)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IFERROR(__xludf.DUMMYFUNCTION("IMPORTRANGE(""https://docs.google.com/spreadsheets/d/1XL5vhW3sbDhbH9Cz0tuDiY8C3ctxq1tqvaCgkFb8cCA/edit?usp=sharing"",""สกลนคร!I415"")"),0)</f>
        <v>0</v>
      </c>
      <c r="J520" s="189">
        <f ca="1">IFERROR(__xludf.DUMMYFUNCTION("IMPORTRANGE(""https://docs.google.com/spreadsheets/d/1XL5vhW3sbDhbH9Cz0tuDiY8C3ctxq1tqvaCgkFb8cCA/edit?usp=sharing"",""สกลนคร!J415"")"),0)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IFERROR(__xludf.DUMMYFUNCTION("IMPORTRANGE(""https://docs.google.com/spreadsheets/d/1XL5vhW3sbDhbH9Cz0tuDiY8C3ctxq1tqvaCgkFb8cCA/edit?usp=sharing"",""สกลนคร!I416"")"),0)</f>
        <v>0</v>
      </c>
      <c r="J521" s="189">
        <f ca="1">IFERROR(__xludf.DUMMYFUNCTION("IMPORTRANGE(""https://docs.google.com/spreadsheets/d/1XL5vhW3sbDhbH9Cz0tuDiY8C3ctxq1tqvaCgkFb8cCA/edit?usp=sharing"",""สกลนคร!J416"")"),0)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IFERROR(__xludf.DUMMYFUNCTION("IMPORTRANGE(""https://docs.google.com/spreadsheets/d/1XL5vhW3sbDhbH9Cz0tuDiY8C3ctxq1tqvaCgkFb8cCA/edit?usp=sharing"",""สกลนคร!I417"")"),0)</f>
        <v>0</v>
      </c>
      <c r="J522" s="189">
        <f ca="1">IFERROR(__xludf.DUMMYFUNCTION("IMPORTRANGE(""https://docs.google.com/spreadsheets/d/1XL5vhW3sbDhbH9Cz0tuDiY8C3ctxq1tqvaCgkFb8cCA/edit?usp=sharing"",""สกลนคร!J417"")"),0)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IFERROR(__xludf.DUMMYFUNCTION("IMPORTRANGE(""https://docs.google.com/spreadsheets/d/1XL5vhW3sbDhbH9Cz0tuDiY8C3ctxq1tqvaCgkFb8cCA/edit?usp=sharing"",""สกลนคร!I418"")"),0)</f>
        <v>0</v>
      </c>
      <c r="J523" s="189">
        <f ca="1">IFERROR(__xludf.DUMMYFUNCTION("IMPORTRANGE(""https://docs.google.com/spreadsheets/d/1XL5vhW3sbDhbH9Cz0tuDiY8C3ctxq1tqvaCgkFb8cCA/edit?usp=sharing"",""สกลนคร!J418"")"),0)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IFERROR(__xludf.DUMMYFUNCTION("IMPORTRANGE(""https://docs.google.com/spreadsheets/d/1XL5vhW3sbDhbH9Cz0tuDiY8C3ctxq1tqvaCgkFb8cCA/edit?usp=sharing"",""สกลนคร!I419"")"),0)</f>
        <v>0</v>
      </c>
      <c r="J524" s="189">
        <f ca="1">IFERROR(__xludf.DUMMYFUNCTION("IMPORTRANGE(""https://docs.google.com/spreadsheets/d/1XL5vhW3sbDhbH9Cz0tuDiY8C3ctxq1tqvaCgkFb8cCA/edit?usp=sharing"",""สกลนคร!J419"")"),0)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IFERROR(__xludf.DUMMYFUNCTION("IMPORTRANGE(""https://docs.google.com/spreadsheets/d/1XL5vhW3sbDhbH9Cz0tuDiY8C3ctxq1tqvaCgkFb8cCA/edit?usp=sharing"",""สกลนคร!I420"")"),0)</f>
        <v>0</v>
      </c>
      <c r="J525" s="284">
        <f ca="1">IFERROR(__xludf.DUMMYFUNCTION("IMPORTRANGE(""https://docs.google.com/spreadsheets/d/1XL5vhW3sbDhbH9Cz0tuDiY8C3ctxq1tqvaCgkFb8cCA/edit?usp=sharing"",""สกลนคร!J420"")"),0)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IFERROR(__xludf.DUMMYFUNCTION("IMPORTRANGE(""https://docs.google.com/spreadsheets/d/1XL5vhW3sbDhbH9Cz0tuDiY8C3ctxq1tqvaCgkFb8cCA/edit?usp=sharing"",""สกลนคร!I421"")"),0)</f>
        <v>0</v>
      </c>
      <c r="J526" s="284">
        <f ca="1">IFERROR(__xludf.DUMMYFUNCTION("IMPORTRANGE(""https://docs.google.com/spreadsheets/d/1XL5vhW3sbDhbH9Cz0tuDiY8C3ctxq1tqvaCgkFb8cCA/edit?usp=sharing"",""สกลนคร!J421"")"),0)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IFERROR(__xludf.DUMMYFUNCTION("IMPORTRANGE(""https://docs.google.com/spreadsheets/d/1XL5vhW3sbDhbH9Cz0tuDiY8C3ctxq1tqvaCgkFb8cCA/edit?usp=sharing"",""สกลนคร!I422"")"),0)</f>
        <v>0</v>
      </c>
      <c r="J527" s="199">
        <f ca="1">IFERROR(__xludf.DUMMYFUNCTION("IMPORTRANGE(""https://docs.google.com/spreadsheets/d/1XL5vhW3sbDhbH9Cz0tuDiY8C3ctxq1tqvaCgkFb8cCA/edit?usp=sharing"",""สกลนคร!J422"")"),0)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IFERROR(__xludf.DUMMYFUNCTION("IMPORTRANGE(""https://docs.google.com/spreadsheets/d/1XL5vhW3sbDhbH9Cz0tuDiY8C3ctxq1tqvaCgkFb8cCA/edit?usp=sharing"",""สกลนคร!I423"")"),0)</f>
        <v>0</v>
      </c>
      <c r="J528" s="199">
        <f ca="1">IFERROR(__xludf.DUMMYFUNCTION("IMPORTRANGE(""https://docs.google.com/spreadsheets/d/1XL5vhW3sbDhbH9Cz0tuDiY8C3ctxq1tqvaCgkFb8cCA/edit?usp=sharing"",""สกลนคร!J423"")"),0)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IFERROR(__xludf.DUMMYFUNCTION("IMPORTRANGE(""https://docs.google.com/spreadsheets/d/1XL5vhW3sbDhbH9Cz0tuDiY8C3ctxq1tqvaCgkFb8cCA/edit?usp=sharing"",""สกลนคร!I424"")"),0)</f>
        <v>0</v>
      </c>
      <c r="J529" s="199">
        <f ca="1">IFERROR(__xludf.DUMMYFUNCTION("IMPORTRANGE(""https://docs.google.com/spreadsheets/d/1XL5vhW3sbDhbH9Cz0tuDiY8C3ctxq1tqvaCgkFb8cCA/edit?usp=sharing"",""สกลนคร!J424"")"),0)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IFERROR(__xludf.DUMMYFUNCTION("IMPORTRANGE(""https://docs.google.com/spreadsheets/d/1XL5vhW3sbDhbH9Cz0tuDiY8C3ctxq1tqvaCgkFb8cCA/edit?usp=sharing"",""สกลนคร!I425"")"),0)</f>
        <v>0</v>
      </c>
      <c r="J530" s="199">
        <f ca="1">IFERROR(__xludf.DUMMYFUNCTION("IMPORTRANGE(""https://docs.google.com/spreadsheets/d/1XL5vhW3sbDhbH9Cz0tuDiY8C3ctxq1tqvaCgkFb8cCA/edit?usp=sharing"",""สกลนคร!J425"")"),0)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IFERROR(__xludf.DUMMYFUNCTION("IMPORTRANGE(""https://docs.google.com/spreadsheets/d/1XL5vhW3sbDhbH9Cz0tuDiY8C3ctxq1tqvaCgkFb8cCA/edit?usp=sharing"",""สกลนคร!I426"")"),0)</f>
        <v>0</v>
      </c>
      <c r="J531" s="199">
        <f ca="1">IFERROR(__xludf.DUMMYFUNCTION("IMPORTRANGE(""https://docs.google.com/spreadsheets/d/1XL5vhW3sbDhbH9Cz0tuDiY8C3ctxq1tqvaCgkFb8cCA/edit?usp=sharing"",""สกลนคร!J426"")"),0)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IFERROR(__xludf.DUMMYFUNCTION("IMPORTRANGE(""https://docs.google.com/spreadsheets/d/1XL5vhW3sbDhbH9Cz0tuDiY8C3ctxq1tqvaCgkFb8cCA/edit?usp=sharing"",""สกลนคร!L429"")"),0)</f>
        <v>0</v>
      </c>
      <c r="M534" s="166"/>
      <c r="N534" s="170">
        <f ca="1">IFERROR(__xludf.DUMMYFUNCTION("IMPORTRANGE(""https://docs.google.com/spreadsheets/d/1XL5vhW3sbDhbH9Cz0tuDiY8C3ctxq1tqvaCgkFb8cCA/edit?usp=sharing"",""สกลนคร!M429"")"),0)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IFERROR(__xludf.DUMMYFUNCTION("IMPORTRANGE(""https://docs.google.com/spreadsheets/d/1XL5vhW3sbDhbH9Cz0tuDiY8C3ctxq1tqvaCgkFb8cCA/edit?usp=sharing"",""สกลนคร!L430"")"),37740)</f>
        <v>37740</v>
      </c>
      <c r="M535" s="167"/>
      <c r="N535" s="170">
        <f ca="1">IFERROR(__xludf.DUMMYFUNCTION("IMPORTRANGE(""https://docs.google.com/spreadsheets/d/1XL5vhW3sbDhbH9Cz0tuDiY8C3ctxq1tqvaCgkFb8cCA/edit?usp=sharing"",""สกลนคร!M430"")"),33995)</f>
        <v>33995</v>
      </c>
      <c r="O535" s="170">
        <f t="shared" ca="1" si="118"/>
        <v>90.07684154742978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IFERROR(__xludf.DUMMYFUNCTION("IMPORTRANGE(""https://docs.google.com/spreadsheets/d/1XL5vhW3sbDhbH9Cz0tuDiY8C3ctxq1tqvaCgkFb8cCA/edit?usp=sharing"",""สกลนคร!L431"")"),0)</f>
        <v>0</v>
      </c>
      <c r="M536" s="170"/>
      <c r="N536" s="170">
        <f ca="1">IFERROR(__xludf.DUMMYFUNCTION("IMPORTRANGE(""https://docs.google.com/spreadsheets/d/1XL5vhW3sbDhbH9Cz0tuDiY8C3ctxq1tqvaCgkFb8cCA/edit?usp=sharing"",""สกลนคร!M431"")"),0)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IFERROR(__xludf.DUMMYFUNCTION("IMPORTRANGE(""https://docs.google.com/spreadsheets/d/1XL5vhW3sbDhbH9Cz0tuDiY8C3ctxq1tqvaCgkFb8cCA/edit?usp=sharing"",""สกลนคร!L432"")"),37740)</f>
        <v>37740</v>
      </c>
      <c r="M537" s="170"/>
      <c r="N537" s="170">
        <f ca="1">IFERROR(__xludf.DUMMYFUNCTION("IMPORTRANGE(""https://docs.google.com/spreadsheets/d/1XL5vhW3sbDhbH9Cz0tuDiY8C3ctxq1tqvaCgkFb8cCA/edit?usp=sharing"",""สกลนคร!M432"")"),33995)</f>
        <v>33995</v>
      </c>
      <c r="O537" s="170">
        <f t="shared" ca="1" si="118"/>
        <v>90.07684154742978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IFERROR(__xludf.DUMMYFUNCTION("IMPORTRANGE(""https://docs.google.com/spreadsheets/d/1XL5vhW3sbDhbH9Cz0tuDiY8C3ctxq1tqvaCgkFb8cCA/edit?usp=sharing"",""สกลนคร!J438"")"),0)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IFERROR(__xludf.DUMMYFUNCTION("IMPORTRANGE(""https://docs.google.com/spreadsheets/d/1XL5vhW3sbDhbH9Cz0tuDiY8C3ctxq1tqvaCgkFb8cCA/edit?usp=sharing"",""สกลนคร!J439"")"),1)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IFERROR(__xludf.DUMMYFUNCTION("IMPORTRANGE(""https://docs.google.com/spreadsheets/d/1XL5vhW3sbDhbH9Cz0tuDiY8C3ctxq1tqvaCgkFb8cCA/edit?usp=sharing"",""สกลนคร!J440"")"),1)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IFERROR(__xludf.DUMMYFUNCTION("IMPORTRANGE(""https://docs.google.com/spreadsheets/d/1XL5vhW3sbDhbH9Cz0tuDiY8C3ctxq1tqvaCgkFb8cCA/edit?usp=sharing"",""สกลนคร!J441"")"),1)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IFERROR(__xludf.DUMMYFUNCTION("IMPORTRANGE(""https://docs.google.com/spreadsheets/d/1XL5vhW3sbDhbH9Cz0tuDiY8C3ctxq1tqvaCgkFb8cCA/edit?usp=sharing"",""สกลนคร!I442"")"),26)</f>
        <v>26</v>
      </c>
      <c r="J547" s="190">
        <f ca="1">IFERROR(__xludf.DUMMYFUNCTION("IMPORTRANGE(""https://docs.google.com/spreadsheets/d/1XL5vhW3sbDhbH9Cz0tuDiY8C3ctxq1tqvaCgkFb8cCA/edit?usp=sharing"",""สกลนคร!J442"")"),26)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IFERROR(__xludf.DUMMYFUNCTION("IMPORTRANGE(""https://docs.google.com/spreadsheets/d/1XL5vhW3sbDhbH9Cz0tuDiY8C3ctxq1tqvaCgkFb8cCA/edit?usp=sharing"",""สกลนคร!J166"")"),0)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IFERROR(__xludf.DUMMYFUNCTION("IMPORTRANGE(""https://docs.google.com/spreadsheets/d/1XL5vhW3sbDhbH9Cz0tuDiY8C3ctxq1tqvaCgkFb8cCA/edit?usp=sharing"",""สกลนคร!J444"")"),0)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IFERROR(__xludf.DUMMYFUNCTION("IMPORTRANGE(""https://docs.google.com/spreadsheets/d/1XL5vhW3sbDhbH9Cz0tuDiY8C3ctxq1tqvaCgkFb8cCA/edit?usp=sharing"",""สกลนคร!L447"")"),0)</f>
        <v>0</v>
      </c>
      <c r="M552" s="166"/>
      <c r="N552" s="170">
        <f ca="1">IFERROR(__xludf.DUMMYFUNCTION("IMPORTRANGE(""https://docs.google.com/spreadsheets/d/1XL5vhW3sbDhbH9Cz0tuDiY8C3ctxq1tqvaCgkFb8cCA/edit?usp=sharing"",""สกลนคร!M447"")"),0)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IFERROR(__xludf.DUMMYFUNCTION("IMPORTRANGE(""https://docs.google.com/spreadsheets/d/1XL5vhW3sbDhbH9Cz0tuDiY8C3ctxq1tqvaCgkFb8cCA/edit?usp=sharing"",""สกลนคร!L448"")"),0)</f>
        <v>0</v>
      </c>
      <c r="M553" s="167"/>
      <c r="N553" s="170">
        <f ca="1">IFERROR(__xludf.DUMMYFUNCTION("IMPORTRANGE(""https://docs.google.com/spreadsheets/d/1XL5vhW3sbDhbH9Cz0tuDiY8C3ctxq1tqvaCgkFb8cCA/edit?usp=sharing"",""สกลนคร!M448"")"),0)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IFERROR(__xludf.DUMMYFUNCTION("IMPORTRANGE(""https://docs.google.com/spreadsheets/d/1XL5vhW3sbDhbH9Cz0tuDiY8C3ctxq1tqvaCgkFb8cCA/edit?usp=sharing"",""สกลนคร!L449"")"),0)</f>
        <v>0</v>
      </c>
      <c r="M554" s="170"/>
      <c r="N554" s="170">
        <f ca="1">IFERROR(__xludf.DUMMYFUNCTION("IMPORTRANGE(""https://docs.google.com/spreadsheets/d/1XL5vhW3sbDhbH9Cz0tuDiY8C3ctxq1tqvaCgkFb8cCA/edit?usp=sharing"",""สกลนคร!M449"")"),0)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IFERROR(__xludf.DUMMYFUNCTION("IMPORTRANGE(""https://docs.google.com/spreadsheets/d/1XL5vhW3sbDhbH9Cz0tuDiY8C3ctxq1tqvaCgkFb8cCA/edit?usp=sharing"",""สกลนคร!L450"")"),0)</f>
        <v>0</v>
      </c>
      <c r="M555" s="170"/>
      <c r="N555" s="170">
        <f ca="1">IFERROR(__xludf.DUMMYFUNCTION("IMPORTRANGE(""https://docs.google.com/spreadsheets/d/1XL5vhW3sbDhbH9Cz0tuDiY8C3ctxq1tqvaCgkFb8cCA/edit?usp=sharing"",""สกลนคร!M450"")"),0)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IFERROR(__xludf.DUMMYFUNCTION("IMPORTRANGE(""https://docs.google.com/spreadsheets/d/1XL5vhW3sbDhbH9Cz0tuDiY8C3ctxq1tqvaCgkFb8cCA/edit?usp=sharing"",""สกลนคร!M451"")"),0)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IFERROR(__xludf.DUMMYFUNCTION("IMPORTRANGE(""https://docs.google.com/spreadsheets/d/1XL5vhW3sbDhbH9Cz0tuDiY8C3ctxq1tqvaCgkFb8cCA/edit?usp=sharing"",""สกลนคร!M452"")"),0)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IFERROR(__xludf.DUMMYFUNCTION("IMPORTRANGE(""https://docs.google.com/spreadsheets/d/1XL5vhW3sbDhbH9Cz0tuDiY8C3ctxq1tqvaCgkFb8cCA/edit?usp=sharing"",""สกลนคร!M453"")"),0)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IFERROR(__xludf.DUMMYFUNCTION("IMPORTRANGE(""https://docs.google.com/spreadsheets/d/1XL5vhW3sbDhbH9Cz0tuDiY8C3ctxq1tqvaCgkFb8cCA/edit?usp=sharing"",""สกลนคร!M454"")"),0)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IFERROR(__xludf.DUMMYFUNCTION("IMPORTRANGE(""https://docs.google.com/spreadsheets/d/1XL5vhW3sbDhbH9Cz0tuDiY8C3ctxq1tqvaCgkFb8cCA/edit?usp=sharing"",""สกลนคร!I455"")"),0)</f>
        <v>0</v>
      </c>
      <c r="J560" s="164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IFERROR(__xludf.DUMMYFUNCTION("IMPORTRANGE(""https://docs.google.com/spreadsheets/d/1XL5vhW3sbDhbH9Cz0tuDiY8C3ctxq1tqvaCgkFb8cCA/edit?usp=sharing"",""สกลนคร!I456"")"),0)</f>
        <v>0</v>
      </c>
      <c r="J561" s="205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IFERROR(__xludf.DUMMYFUNCTION("IMPORTRANGE(""https://docs.google.com/spreadsheets/d/1XL5vhW3sbDhbH9Cz0tuDiY8C3ctxq1tqvaCgkFb8cCA/edit?usp=sharing"",""สกลนคร!I457"")"),0)</f>
        <v>0</v>
      </c>
      <c r="J562" s="205" t="str">
        <f ca="1">IFERROR(__xludf.DUMMYFUNCTION("IMPORTRANGE(""https://docs.google.com/spreadsheets/d/1XL5vhW3sbDhbH9Cz0tuDiY8C3ctxq1tqvaCgkFb8cCA/edit?usp=sharing"",""สกลนคร!J457"")"),"")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IFERROR(__xludf.DUMMYFUNCTION("IMPORTRANGE(""https://docs.google.com/spreadsheets/d/1XL5vhW3sbDhbH9Cz0tuDiY8C3ctxq1tqvaCgkFb8cCA/edit?usp=sharing"",""สกลนคร!I458"")"),0)</f>
        <v>0</v>
      </c>
      <c r="J563" s="189" t="str">
        <f ca="1">IFERROR(__xludf.DUMMYFUNCTION("IMPORTRANGE(""https://docs.google.com/spreadsheets/d/1XL5vhW3sbDhbH9Cz0tuDiY8C3ctxq1tqvaCgkFb8cCA/edit?usp=sharing"",""สกลนคร!J458"")"),"")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IFERROR(__xludf.DUMMYFUNCTION("IMPORTRANGE(""https://docs.google.com/spreadsheets/d/1XL5vhW3sbDhbH9Cz0tuDiY8C3ctxq1tqvaCgkFb8cCA/edit?usp=sharing"",""สกลนคร!J459"")"),3550)</f>
        <v>3550</v>
      </c>
      <c r="K564" s="372">
        <f t="shared" ca="1" si="121"/>
        <v>84.523809523809518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IFERROR(__xludf.DUMMYFUNCTION("IMPORTRANGE(""https://docs.google.com/spreadsheets/d/1XL5vhW3sbDhbH9Cz0tuDiY8C3ctxq1tqvaCgkFb8cCA/edit?usp=sharing"",""สกลนคร!M459"")"),104328.43)</f>
        <v>104328.43</v>
      </c>
      <c r="O564" s="373">
        <f t="shared" ref="O564:O568" ca="1" si="122">+IF(L564&gt;0,N564*100/L564,0)</f>
        <v>62.397386363636365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IFERROR(__xludf.DUMMYFUNCTION("IMPORTRANGE(""https://docs.google.com/spreadsheets/d/1XL5vhW3sbDhbH9Cz0tuDiY8C3ctxq1tqvaCgkFb8cCA/edit?usp=sharing"",""สกลนคร!L460"")"),0)</f>
        <v>0</v>
      </c>
      <c r="M565" s="166"/>
      <c r="N565" s="170">
        <f ca="1">IFERROR(__xludf.DUMMYFUNCTION("IMPORTRANGE(""https://docs.google.com/spreadsheets/d/1XL5vhW3sbDhbH9Cz0tuDiY8C3ctxq1tqvaCgkFb8cCA/edit?usp=sharing"",""สกลนคร!M460"")"),0)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IFERROR(__xludf.DUMMYFUNCTION("IMPORTRANGE(""https://docs.google.com/spreadsheets/d/1XL5vhW3sbDhbH9Cz0tuDiY8C3ctxq1tqvaCgkFb8cCA/edit?usp=sharing"",""สกลนคร!L461"")"),167200)</f>
        <v>167200</v>
      </c>
      <c r="M566" s="167"/>
      <c r="N566" s="170">
        <f ca="1">IFERROR(__xludf.DUMMYFUNCTION("IMPORTRANGE(""https://docs.google.com/spreadsheets/d/1XL5vhW3sbDhbH9Cz0tuDiY8C3ctxq1tqvaCgkFb8cCA/edit?usp=sharing"",""สกลนคร!M461"")"),104328.43)</f>
        <v>104328.43</v>
      </c>
      <c r="O566" s="170">
        <f t="shared" ca="1" si="122"/>
        <v>62.397386363636365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IFERROR(__xludf.DUMMYFUNCTION("IMPORTRANGE(""https://docs.google.com/spreadsheets/d/1XL5vhW3sbDhbH9Cz0tuDiY8C3ctxq1tqvaCgkFb8cCA/edit?usp=sharing"",""สกลนคร!L462"")"),0)</f>
        <v>0</v>
      </c>
      <c r="M567" s="170"/>
      <c r="N567" s="170">
        <f ca="1">IFERROR(__xludf.DUMMYFUNCTION("IMPORTRANGE(""https://docs.google.com/spreadsheets/d/1XL5vhW3sbDhbH9Cz0tuDiY8C3ctxq1tqvaCgkFb8cCA/edit?usp=sharing"",""สกลนคร!M462"")"),0)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IFERROR(__xludf.DUMMYFUNCTION("IMPORTRANGE(""https://docs.google.com/spreadsheets/d/1XL5vhW3sbDhbH9Cz0tuDiY8C3ctxq1tqvaCgkFb8cCA/edit?usp=sharing"",""สกลนคร!L463"")"),167200)</f>
        <v>167200</v>
      </c>
      <c r="M568" s="170"/>
      <c r="N568" s="170">
        <f ca="1">IFERROR(__xludf.DUMMYFUNCTION("IMPORTRANGE(""https://docs.google.com/spreadsheets/d/1XL5vhW3sbDhbH9Cz0tuDiY8C3ctxq1tqvaCgkFb8cCA/edit?usp=sharing"",""สกลนคร!M463"")"),104328.43)</f>
        <v>104328.43</v>
      </c>
      <c r="O568" s="170">
        <f t="shared" ca="1" si="122"/>
        <v>62.397386363636365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IFERROR(__xludf.DUMMYFUNCTION("IMPORTRANGE(""https://docs.google.com/spreadsheets/d/1XL5vhW3sbDhbH9Cz0tuDiY8C3ctxq1tqvaCgkFb8cCA/edit?usp=sharing"",""สกลนคร!M464"")"),0)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IFERROR(__xludf.DUMMYFUNCTION("IMPORTRANGE(""https://docs.google.com/spreadsheets/d/1XL5vhW3sbDhbH9Cz0tuDiY8C3ctxq1tqvaCgkFb8cCA/edit?usp=sharing"",""สกลนคร!M465"")"),0)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IFERROR(__xludf.DUMMYFUNCTION("IMPORTRANGE(""https://docs.google.com/spreadsheets/d/1XL5vhW3sbDhbH9Cz0tuDiY8C3ctxq1tqvaCgkFb8cCA/edit?usp=sharing"",""สกลนคร!M466"")"),50032.26)</f>
        <v>50032.26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IFERROR(__xludf.DUMMYFUNCTION("IMPORTRANGE(""https://docs.google.com/spreadsheets/d/1XL5vhW3sbDhbH9Cz0tuDiY8C3ctxq1tqvaCgkFb8cCA/edit?usp=sharing"",""สกลนคร!M467"")"),54296.17)</f>
        <v>54296.17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IFERROR(__xludf.DUMMYFUNCTION("IMPORTRANGE(""https://docs.google.com/spreadsheets/d/1XL5vhW3sbDhbH9Cz0tuDiY8C3ctxq1tqvaCgkFb8cCA/edit?usp=sharing"",""สกลนคร!J468"")"),3550)</f>
        <v>3550</v>
      </c>
      <c r="K573" s="203">
        <f ca="1">IF(I573&gt;0,J573*100/I573,0)</f>
        <v>84.523809523809518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IFERROR(__xludf.DUMMYFUNCTION("IMPORTRANGE(""https://docs.google.com/spreadsheets/d/1XL5vhW3sbDhbH9Cz0tuDiY8C3ctxq1tqvaCgkFb8cCA/edit?usp=sharing"",""สกลนคร!I470"")"),0)</f>
        <v>0</v>
      </c>
      <c r="J575" s="199">
        <f ca="1">IFERROR(__xludf.DUMMYFUNCTION("IMPORTRANGE(""https://docs.google.com/spreadsheets/d/1XL5vhW3sbDhbH9Cz0tuDiY8C3ctxq1tqvaCgkFb8cCA/edit?usp=sharing"",""สกลนคร!J470"")"),8)</f>
        <v>8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IFERROR(__xludf.DUMMYFUNCTION("IMPORTRANGE(""https://docs.google.com/spreadsheets/d/1XL5vhW3sbDhbH9Cz0tuDiY8C3ctxq1tqvaCgkFb8cCA/edit?usp=sharing"",""สกลนคร!I471"")"),0)</f>
        <v>0</v>
      </c>
      <c r="J576" s="199">
        <f ca="1">IFERROR(__xludf.DUMMYFUNCTION("IMPORTRANGE(""https://docs.google.com/spreadsheets/d/1XL5vhW3sbDhbH9Cz0tuDiY8C3ctxq1tqvaCgkFb8cCA/edit?usp=sharing"",""สกลนคร!J471"")"),1107)</f>
        <v>1107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IFERROR(__xludf.DUMMYFUNCTION("IMPORTRANGE(""https://docs.google.com/spreadsheets/d/1XL5vhW3sbDhbH9Cz0tuDiY8C3ctxq1tqvaCgkFb8cCA/edit?usp=sharing"",""สกลนคร!I472"")"),0)</f>
        <v>0</v>
      </c>
      <c r="J577" s="190">
        <f ca="1">IFERROR(__xludf.DUMMYFUNCTION("IMPORTRANGE(""https://docs.google.com/spreadsheets/d/1XL5vhW3sbDhbH9Cz0tuDiY8C3ctxq1tqvaCgkFb8cCA/edit?usp=sharing"",""สกลนคร!J472"")"),2443)</f>
        <v>2443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IFERROR(__xludf.DUMMYFUNCTION("IMPORTRANGE(""https://docs.google.com/spreadsheets/d/1XL5vhW3sbDhbH9Cz0tuDiY8C3ctxq1tqvaCgkFb8cCA/edit?usp=sharing"",""สกลนคร!I473"")"),0)</f>
        <v>0</v>
      </c>
      <c r="J578" s="199">
        <f ca="1">IFERROR(__xludf.DUMMYFUNCTION("IMPORTRANGE(""https://docs.google.com/spreadsheets/d/1XL5vhW3sbDhbH9Cz0tuDiY8C3ctxq1tqvaCgkFb8cCA/edit?usp=sharing"",""สกลนคร!J473"")"),0)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IFERROR(__xludf.DUMMYFUNCTION("IMPORTRANGE(""https://docs.google.com/spreadsheets/d/1XL5vhW3sbDhbH9Cz0tuDiY8C3ctxq1tqvaCgkFb8cCA/edit?usp=sharing"",""สกลนคร!I474"")"),0)</f>
        <v>0</v>
      </c>
      <c r="J579" s="199">
        <f ca="1">IFERROR(__xludf.DUMMYFUNCTION("IMPORTRANGE(""https://docs.google.com/spreadsheets/d/1XL5vhW3sbDhbH9Cz0tuDiY8C3ctxq1tqvaCgkFb8cCA/edit?usp=sharing"",""สกลนคร!J474"")"),0)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IFERROR(__xludf.DUMMYFUNCTION("IMPORTRANGE(""https://docs.google.com/spreadsheets/d/1XL5vhW3sbDhbH9Cz0tuDiY8C3ctxq1tqvaCgkFb8cCA/edit?usp=sharing"",""สกลนคร!I475"")"),216)</f>
        <v>216</v>
      </c>
      <c r="J580" s="371">
        <f ca="1">IFERROR(__xludf.DUMMYFUNCTION("IMPORTRANGE(""https://docs.google.com/spreadsheets/d/1XL5vhW3sbDhbH9Cz0tuDiY8C3ctxq1tqvaCgkFb8cCA/edit?usp=sharing"",""สกลนคร!J475"")"),4)</f>
        <v>4</v>
      </c>
      <c r="K580" s="372">
        <f ca="1">IF(I580&gt;0,J580*100/I580,0)</f>
        <v>1.8518518518518519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IFERROR(__xludf.DUMMYFUNCTION("IMPORTRANGE(""https://docs.google.com/spreadsheets/d/1XL5vhW3sbDhbH9Cz0tuDiY8C3ctxq1tqvaCgkFb8cCA/edit?usp=sharing"",""สกลนคร!M475"")"),139532.26)</f>
        <v>139532.26</v>
      </c>
      <c r="O580" s="373">
        <f t="shared" ref="O580:O584" ca="1" si="124">+IF(L580&gt;0,N580*100/L580,0)</f>
        <v>42.230291034115396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IFERROR(__xludf.DUMMYFUNCTION("IMPORTRANGE(""https://docs.google.com/spreadsheets/d/1XL5vhW3sbDhbH9Cz0tuDiY8C3ctxq1tqvaCgkFb8cCA/edit?usp=sharing"",""สกลนคร!L476"")"),0)</f>
        <v>0</v>
      </c>
      <c r="M581" s="166"/>
      <c r="N581" s="170">
        <f ca="1">IFERROR(__xludf.DUMMYFUNCTION("IMPORTRANGE(""https://docs.google.com/spreadsheets/d/1XL5vhW3sbDhbH9Cz0tuDiY8C3ctxq1tqvaCgkFb8cCA/edit?usp=sharing"",""สกลนคร!M476"")"),0)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IFERROR(__xludf.DUMMYFUNCTION("IMPORTRANGE(""https://docs.google.com/spreadsheets/d/1XL5vhW3sbDhbH9Cz0tuDiY8C3ctxq1tqvaCgkFb8cCA/edit?usp=sharing"",""สกลนคร!L477"")"),330408)</f>
        <v>330408</v>
      </c>
      <c r="M582" s="167"/>
      <c r="N582" s="170">
        <f ca="1">IFERROR(__xludf.DUMMYFUNCTION("IMPORTRANGE(""https://docs.google.com/spreadsheets/d/1XL5vhW3sbDhbH9Cz0tuDiY8C3ctxq1tqvaCgkFb8cCA/edit?usp=sharing"",""สกลนคร!M477"")"),139532.26)</f>
        <v>139532.26</v>
      </c>
      <c r="O582" s="170">
        <f t="shared" ca="1" si="124"/>
        <v>42.230291034115396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IFERROR(__xludf.DUMMYFUNCTION("IMPORTRANGE(""https://docs.google.com/spreadsheets/d/1XL5vhW3sbDhbH9Cz0tuDiY8C3ctxq1tqvaCgkFb8cCA/edit?usp=sharing"",""สกลนคร!L478"")"),0)</f>
        <v>0</v>
      </c>
      <c r="M583" s="170"/>
      <c r="N583" s="170">
        <f ca="1">IFERROR(__xludf.DUMMYFUNCTION("IMPORTRANGE(""https://docs.google.com/spreadsheets/d/1XL5vhW3sbDhbH9Cz0tuDiY8C3ctxq1tqvaCgkFb8cCA/edit?usp=sharing"",""สกลนคร!M478"")"),0)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IFERROR(__xludf.DUMMYFUNCTION("IMPORTRANGE(""https://docs.google.com/spreadsheets/d/1XL5vhW3sbDhbH9Cz0tuDiY8C3ctxq1tqvaCgkFb8cCA/edit?usp=sharing"",""สกลนคร!L479"")"),330408)</f>
        <v>330408</v>
      </c>
      <c r="M584" s="170"/>
      <c r="N584" s="170">
        <f ca="1">IFERROR(__xludf.DUMMYFUNCTION("IMPORTRANGE(""https://docs.google.com/spreadsheets/d/1XL5vhW3sbDhbH9Cz0tuDiY8C3ctxq1tqvaCgkFb8cCA/edit?usp=sharing"",""สกลนคร!M479"")"),139532.26)</f>
        <v>139532.26</v>
      </c>
      <c r="O584" s="170">
        <f t="shared" ca="1" si="124"/>
        <v>42.230291034115396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IFERROR(__xludf.DUMMYFUNCTION("IMPORTRANGE(""https://docs.google.com/spreadsheets/d/1XL5vhW3sbDhbH9Cz0tuDiY8C3ctxq1tqvaCgkFb8cCA/edit?usp=sharing"",""สกลนคร!M480"")"),0)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IFERROR(__xludf.DUMMYFUNCTION("IMPORTRANGE(""https://docs.google.com/spreadsheets/d/1XL5vhW3sbDhbH9Cz0tuDiY8C3ctxq1tqvaCgkFb8cCA/edit?usp=sharing"",""สกลนคร!M481"")"),0)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IFERROR(__xludf.DUMMYFUNCTION("IMPORTRANGE(""https://docs.google.com/spreadsheets/d/1XL5vhW3sbDhbH9Cz0tuDiY8C3ctxq1tqvaCgkFb8cCA/edit?usp=sharing"",""สกลนคร!M482"")"),55000)</f>
        <v>55000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IFERROR(__xludf.DUMMYFUNCTION("IMPORTRANGE(""https://docs.google.com/spreadsheets/d/1XL5vhW3sbDhbH9Cz0tuDiY8C3ctxq1tqvaCgkFb8cCA/edit?usp=sharing"",""สกลนคร!M483"")"),84532.26)</f>
        <v>84532.26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IFERROR(__xludf.DUMMYFUNCTION("IMPORTRANGE(""https://docs.google.com/spreadsheets/d/1XL5vhW3sbDhbH9Cz0tuDiY8C3ctxq1tqvaCgkFb8cCA/edit?usp=sharing"",""สกลนคร!I484"")"),216)</f>
        <v>216</v>
      </c>
      <c r="J589" s="189">
        <f ca="1">IFERROR(__xludf.DUMMYFUNCTION("IMPORTRANGE(""https://docs.google.com/spreadsheets/d/1XL5vhW3sbDhbH9Cz0tuDiY8C3ctxq1tqvaCgkFb8cCA/edit?usp=sharing"",""สกลนคร!J484"")"),96)</f>
        <v>96</v>
      </c>
      <c r="K589" s="165">
        <f t="shared" ref="K589:K596" ca="1" si="125">IF(I589&gt;0,J589*100/I589,0)</f>
        <v>44.444444444444443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9">
        <f ca="1">IFERROR(__xludf.DUMMYFUNCTION("IMPORTRANGE(""https://docs.google.com/spreadsheets/d/1XL5vhW3sbDhbH9Cz0tuDiY8C3ctxq1tqvaCgkFb8cCA/edit?usp=sharing"",""สกลนคร!J485"")"),45.56)</f>
        <v>45.56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IFERROR(__xludf.DUMMYFUNCTION("IMPORTRANGE(""https://docs.google.com/spreadsheets/d/1XL5vhW3sbDhbH9Cz0tuDiY8C3ctxq1tqvaCgkFb8cCA/edit?usp=sharing"",""สกลนคร!I486"")"),216)</f>
        <v>216</v>
      </c>
      <c r="J591" s="189">
        <f ca="1">IFERROR(__xludf.DUMMYFUNCTION("IMPORTRANGE(""https://docs.google.com/spreadsheets/d/1XL5vhW3sbDhbH9Cz0tuDiY8C3ctxq1tqvaCgkFb8cCA/edit?usp=sharing"",""สกลนคร!J486"")"),71)</f>
        <v>71</v>
      </c>
      <c r="K591" s="165">
        <f t="shared" ca="1" si="125"/>
        <v>32.870370370370374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9">
        <f ca="1">IFERROR(__xludf.DUMMYFUNCTION("IMPORTRANGE(""https://docs.google.com/spreadsheets/d/1XL5vhW3sbDhbH9Cz0tuDiY8C3ctxq1tqvaCgkFb8cCA/edit?usp=sharing"",""สกลนคร!J487"")"),29.98)</f>
        <v>29.98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IFERROR(__xludf.DUMMYFUNCTION("IMPORTRANGE(""https://docs.google.com/spreadsheets/d/1XL5vhW3sbDhbH9Cz0tuDiY8C3ctxq1tqvaCgkFb8cCA/edit?usp=sharing"",""สกลนคร!I488"")"),216)</f>
        <v>216</v>
      </c>
      <c r="J593" s="189">
        <f ca="1">IFERROR(__xludf.DUMMYFUNCTION("IMPORTRANGE(""https://docs.google.com/spreadsheets/d/1XL5vhW3sbDhbH9Cz0tuDiY8C3ctxq1tqvaCgkFb8cCA/edit?usp=sharing"",""สกลนคร!J488"")"),19)</f>
        <v>19</v>
      </c>
      <c r="K593" s="165">
        <f t="shared" ca="1" si="125"/>
        <v>8.7962962962962958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9">
        <f ca="1">IFERROR(__xludf.DUMMYFUNCTION("IMPORTRANGE(""https://docs.google.com/spreadsheets/d/1XL5vhW3sbDhbH9Cz0tuDiY8C3ctxq1tqvaCgkFb8cCA/edit?usp=sharing"",""สกลนคร!J489"")"),8.02)</f>
        <v>8.02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IFERROR(__xludf.DUMMYFUNCTION("IMPORTRANGE(""https://docs.google.com/spreadsheets/d/1XL5vhW3sbDhbH9Cz0tuDiY8C3ctxq1tqvaCgkFb8cCA/edit?usp=sharing"",""สกลนคร!I490"")"),216)</f>
        <v>216</v>
      </c>
      <c r="J595" s="189">
        <f ca="1">IFERROR(__xludf.DUMMYFUNCTION("IMPORTRANGE(""https://docs.google.com/spreadsheets/d/1XL5vhW3sbDhbH9Cz0tuDiY8C3ctxq1tqvaCgkFb8cCA/edit?usp=sharing"",""สกลนคร!J490"")"),4)</f>
        <v>4</v>
      </c>
      <c r="K595" s="165">
        <f t="shared" ca="1" si="125"/>
        <v>1.8518518518518519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IFERROR(__xludf.DUMMYFUNCTION("IMPORTRANGE(""https://docs.google.com/spreadsheets/d/1XL5vhW3sbDhbH9Cz0tuDiY8C3ctxq1tqvaCgkFb8cCA/edit?usp=sharing"",""สกลนคร!J491"")"),3.94)</f>
        <v>3.94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7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IFERROR(__xludf.DUMMYFUNCTION("IMPORTRANGE(""https://docs.google.com/spreadsheets/d/1XL5vhW3sbDhbH9Cz0tuDiY8C3ctxq1tqvaCgkFb8cCA/edit?usp=sharing"",""สกลนคร!L493"")"),0)</f>
        <v>0</v>
      </c>
      <c r="M598" s="166"/>
      <c r="N598" s="170">
        <f ca="1">IFERROR(__xludf.DUMMYFUNCTION("IMPORTRANGE(""https://docs.google.com/spreadsheets/d/1XL5vhW3sbDhbH9Cz0tuDiY8C3ctxq1tqvaCgkFb8cCA/edit?usp=sharing"",""สกลนคร!M493"")"),0)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IFERROR(__xludf.DUMMYFUNCTION("IMPORTRANGE(""https://docs.google.com/spreadsheets/d/1XL5vhW3sbDhbH9Cz0tuDiY8C3ctxq1tqvaCgkFb8cCA/edit?usp=sharing"",""สกลนคร!L494"")"),20900)</f>
        <v>20900</v>
      </c>
      <c r="M599" s="167"/>
      <c r="N599" s="170">
        <f ca="1">IFERROR(__xludf.DUMMYFUNCTION("IMPORTRANGE(""https://docs.google.com/spreadsheets/d/1XL5vhW3sbDhbH9Cz0tuDiY8C3ctxq1tqvaCgkFb8cCA/edit?usp=sharing"",""สกลนคร!M494"")"),0)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IFERROR(__xludf.DUMMYFUNCTION("IMPORTRANGE(""https://docs.google.com/spreadsheets/d/1XL5vhW3sbDhbH9Cz0tuDiY8C3ctxq1tqvaCgkFb8cCA/edit?usp=sharing"",""สกลนคร!L495"")"),0)</f>
        <v>0</v>
      </c>
      <c r="M600" s="170"/>
      <c r="N600" s="170">
        <f ca="1">IFERROR(__xludf.DUMMYFUNCTION("IMPORTRANGE(""https://docs.google.com/spreadsheets/d/1XL5vhW3sbDhbH9Cz0tuDiY8C3ctxq1tqvaCgkFb8cCA/edit?usp=sharing"",""สกลนคร!M495"")"),0)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IFERROR(__xludf.DUMMYFUNCTION("IMPORTRANGE(""https://docs.google.com/spreadsheets/d/1XL5vhW3sbDhbH9Cz0tuDiY8C3ctxq1tqvaCgkFb8cCA/edit?usp=sharing"",""สกลนคร!L496"")"),20900)</f>
        <v>20900</v>
      </c>
      <c r="M601" s="170"/>
      <c r="N601" s="170">
        <f ca="1">IFERROR(__xludf.DUMMYFUNCTION("IMPORTRANGE(""https://docs.google.com/spreadsheets/d/1XL5vhW3sbDhbH9Cz0tuDiY8C3ctxq1tqvaCgkFb8cCA/edit?usp=sharing"",""สกลนคร!M496"")"),0)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IFERROR(__xludf.DUMMYFUNCTION("IMPORTRANGE(""https://docs.google.com/spreadsheets/d/1XL5vhW3sbDhbH9Cz0tuDiY8C3ctxq1tqvaCgkFb8cCA/edit?usp=sharing"",""สกลนคร!M497"")"),0)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IFERROR(__xludf.DUMMYFUNCTION("IMPORTRANGE(""https://docs.google.com/spreadsheets/d/1XL5vhW3sbDhbH9Cz0tuDiY8C3ctxq1tqvaCgkFb8cCA/edit?usp=sharing"",""สกลนคร!M498"")"),0)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IFERROR(__xludf.DUMMYFUNCTION("IMPORTRANGE(""https://docs.google.com/spreadsheets/d/1XL5vhW3sbDhbH9Cz0tuDiY8C3ctxq1tqvaCgkFb8cCA/edit?usp=sharing"",""สกลนคร!J502"")"),0)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IFERROR(__xludf.DUMMYFUNCTION("IMPORTRANGE(""https://docs.google.com/spreadsheets/d/1XL5vhW3sbDhbH9Cz0tuDiY8C3ctxq1tqvaCgkFb8cCA/edit?usp=sharing"",""สกลนคร!J503"")"),1)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IFERROR(__xludf.DUMMYFUNCTION("IMPORTRANGE(""https://docs.google.com/spreadsheets/d/1XL5vhW3sbDhbH9Cz0tuDiY8C3ctxq1tqvaCgkFb8cCA/edit?usp=sharing"",""สกลนคร!J166"")"),0)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IFERROR(__xludf.DUMMYFUNCTION("IMPORTRANGE(""https://docs.google.com/spreadsheets/d/1XL5vhW3sbDhbH9Cz0tuDiY8C3ctxq1tqvaCgkFb8cCA/edit?usp=sharing"",""สกลนคร!J166"")"),0)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IFERROR(__xludf.DUMMYFUNCTION("IMPORTRANGE(""https://docs.google.com/spreadsheets/d/1XL5vhW3sbDhbH9Cz0tuDiY8C3ctxq1tqvaCgkFb8cCA/edit?usp=sharing"",""สกลนคร!I506"")"),100)</f>
        <v>100</v>
      </c>
      <c r="J611" s="164">
        <f ca="1">IFERROR(__xludf.DUMMYFUNCTION("IMPORTRANGE(""https://docs.google.com/spreadsheets/d/1XL5vhW3sbDhbH9Cz0tuDiY8C3ctxq1tqvaCgkFb8cCA/edit?usp=sharing"",""สกลนคร!J506"")"),0)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IFERROR(__xludf.DUMMYFUNCTION("IMPORTRANGE(""https://docs.google.com/spreadsheets/d/1XL5vhW3sbDhbH9Cz0tuDiY8C3ctxq1tqvaCgkFb8cCA/edit?usp=sharing"",""สกลนคร!I507"")"),0)</f>
        <v>0</v>
      </c>
      <c r="J612" s="199">
        <f ca="1">IFERROR(__xludf.DUMMYFUNCTION("IMPORTRANGE(""https://docs.google.com/spreadsheets/d/1XL5vhW3sbDhbH9Cz0tuDiY8C3ctxq1tqvaCgkFb8cCA/edit?usp=sharing"",""สกลนคร!J507"")"),0)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IFERROR(__xludf.DUMMYFUNCTION("IMPORTRANGE(""https://docs.google.com/spreadsheets/d/1XL5vhW3sbDhbH9Cz0tuDiY8C3ctxq1tqvaCgkFb8cCA/edit?usp=sharing"",""สกลนคร!I508"")"),0)</f>
        <v>0</v>
      </c>
      <c r="J613" s="199">
        <f ca="1">IFERROR(__xludf.DUMMYFUNCTION("IMPORTRANGE(""https://docs.google.com/spreadsheets/d/1XL5vhW3sbDhbH9Cz0tuDiY8C3ctxq1tqvaCgkFb8cCA/edit?usp=sharing"",""สกลนคร!J508"")"),0)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IFERROR(__xludf.DUMMYFUNCTION("IMPORTRANGE(""https://docs.google.com/spreadsheets/d/1XL5vhW3sbDhbH9Cz0tuDiY8C3ctxq1tqvaCgkFb8cCA/edit?usp=sharing"",""สกลนคร!I509"")"),0)</f>
        <v>0</v>
      </c>
      <c r="J614" s="199">
        <f ca="1">IFERROR(__xludf.DUMMYFUNCTION("IMPORTRANGE(""https://docs.google.com/spreadsheets/d/1XL5vhW3sbDhbH9Cz0tuDiY8C3ctxq1tqvaCgkFb8cCA/edit?usp=sharing"",""สกลนคร!J509"")"),0)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IFERROR(__xludf.DUMMYFUNCTION("IMPORTRANGE(""https://docs.google.com/spreadsheets/d/1XL5vhW3sbDhbH9Cz0tuDiY8C3ctxq1tqvaCgkFb8cCA/edit?usp=sharing"",""สกลนคร!I510"")"),0)</f>
        <v>0</v>
      </c>
      <c r="J615" s="199">
        <f ca="1">IFERROR(__xludf.DUMMYFUNCTION("IMPORTRANGE(""https://docs.google.com/spreadsheets/d/1XL5vhW3sbDhbH9Cz0tuDiY8C3ctxq1tqvaCgkFb8cCA/edit?usp=sharing"",""สกลนคร!J510"")"),0)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IFERROR(__xludf.DUMMYFUNCTION("IMPORTRANGE(""https://docs.google.com/spreadsheets/d/1XL5vhW3sbDhbH9Cz0tuDiY8C3ctxq1tqvaCgkFb8cCA/edit?usp=sharing"",""สกลนคร!I511"")"),0)</f>
        <v>0</v>
      </c>
      <c r="J616" s="199">
        <f ca="1">IFERROR(__xludf.DUMMYFUNCTION("IMPORTRANGE(""https://docs.google.com/spreadsheets/d/1XL5vhW3sbDhbH9Cz0tuDiY8C3ctxq1tqvaCgkFb8cCA/edit?usp=sharing"",""สกลนคร!J511"")"),0)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IFERROR(__xludf.DUMMYFUNCTION("IMPORTRANGE(""https://docs.google.com/spreadsheets/d/1XL5vhW3sbDhbH9Cz0tuDiY8C3ctxq1tqvaCgkFb8cCA/edit?usp=sharing"",""สกลนคร!I512"")"),0)</f>
        <v>0</v>
      </c>
      <c r="J617" s="189">
        <f ca="1">IFERROR(__xludf.DUMMYFUNCTION("IMPORTRANGE(""https://docs.google.com/spreadsheets/d/1XL5vhW3sbDhbH9Cz0tuDiY8C3ctxq1tqvaCgkFb8cCA/edit?usp=sharing"",""สกลนคร!J512"")"),0)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IFERROR(__xludf.DUMMYFUNCTION("IMPORTRANGE(""https://docs.google.com/spreadsheets/d/1XL5vhW3sbDhbH9Cz0tuDiY8C3ctxq1tqvaCgkFb8cCA/edit?usp=sharing"",""สกลนคร!I513"")"),0)</f>
        <v>0</v>
      </c>
      <c r="J618" s="190">
        <f ca="1">IFERROR(__xludf.DUMMYFUNCTION("IMPORTRANGE(""https://docs.google.com/spreadsheets/d/1XL5vhW3sbDhbH9Cz0tuDiY8C3ctxq1tqvaCgkFb8cCA/edit?usp=sharing"",""สกลนคร!J513"")"),0)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IFERROR(__xludf.DUMMYFUNCTION("IMPORTRANGE(""https://docs.google.com/spreadsheets/d/1XL5vhW3sbDhbH9Cz0tuDiY8C3ctxq1tqvaCgkFb8cCA/edit?usp=sharing"",""สกลนคร!I514"")"),0)</f>
        <v>0</v>
      </c>
      <c r="J619" s="190">
        <f ca="1">IFERROR(__xludf.DUMMYFUNCTION("IMPORTRANGE(""https://docs.google.com/spreadsheets/d/1XL5vhW3sbDhbH9Cz0tuDiY8C3ctxq1tqvaCgkFb8cCA/edit?usp=sharing"",""สกลนคร!J514"")"),0)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IFERROR(__xludf.DUMMYFUNCTION("IMPORTRANGE(""https://docs.google.com/spreadsheets/d/1XL5vhW3sbDhbH9Cz0tuDiY8C3ctxq1tqvaCgkFb8cCA/edit?usp=sharing"",""สกลนคร!I515"")"),0)</f>
        <v>0</v>
      </c>
      <c r="J620" s="204">
        <f ca="1">IFERROR(__xludf.DUMMYFUNCTION("IMPORTRANGE(""https://docs.google.com/spreadsheets/d/1XL5vhW3sbDhbH9Cz0tuDiY8C3ctxq1tqvaCgkFb8cCA/edit?usp=sharing"",""สกลนคร!J515"")"),0)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IFERROR(__xludf.DUMMYFUNCTION("IMPORTRANGE(""https://docs.google.com/spreadsheets/d/1XL5vhW3sbDhbH9Cz0tuDiY8C3ctxq1tqvaCgkFb8cCA/edit?usp=sharing"",""สกลนคร!I516"")"),0)</f>
        <v>0</v>
      </c>
      <c r="J621" s="204">
        <f ca="1">IFERROR(__xludf.DUMMYFUNCTION("IMPORTRANGE(""https://docs.google.com/spreadsheets/d/1XL5vhW3sbDhbH9Cz0tuDiY8C3ctxq1tqvaCgkFb8cCA/edit?usp=sharing"",""สกลนคร!J516"")"),0)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IFERROR(__xludf.DUMMYFUNCTION("IMPORTRANGE(""https://docs.google.com/spreadsheets/d/1XL5vhW3sbDhbH9Cz0tuDiY8C3ctxq1tqvaCgkFb8cCA/edit?usp=sharing"",""สกลนคร!I517"")"),0)</f>
        <v>0</v>
      </c>
      <c r="J622" s="190">
        <f ca="1">IFERROR(__xludf.DUMMYFUNCTION("IMPORTRANGE(""https://docs.google.com/spreadsheets/d/1XL5vhW3sbDhbH9Cz0tuDiY8C3ctxq1tqvaCgkFb8cCA/edit?usp=sharing"",""สกลนคร!J517"")"),0)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IFERROR(__xludf.DUMMYFUNCTION("IMPORTRANGE(""https://docs.google.com/spreadsheets/d/1XL5vhW3sbDhbH9Cz0tuDiY8C3ctxq1tqvaCgkFb8cCA/edit?usp=sharing"",""สกลนคร!I518"")"),0)</f>
        <v>0</v>
      </c>
      <c r="J623" s="190">
        <f ca="1">IFERROR(__xludf.DUMMYFUNCTION("IMPORTRANGE(""https://docs.google.com/spreadsheets/d/1XL5vhW3sbDhbH9Cz0tuDiY8C3ctxq1tqvaCgkFb8cCA/edit?usp=sharing"",""สกลนคร!J518"")"),0)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IFERROR(__xludf.DUMMYFUNCTION("IMPORTRANGE(""https://docs.google.com/spreadsheets/d/1XL5vhW3sbDhbH9Cz0tuDiY8C3ctxq1tqvaCgkFb8cCA/edit?usp=sharing"",""สกลนคร!I519"")"),0)</f>
        <v>0</v>
      </c>
      <c r="J624" s="189">
        <f ca="1">IFERROR(__xludf.DUMMYFUNCTION("IMPORTRANGE(""https://docs.google.com/spreadsheets/d/1XL5vhW3sbDhbH9Cz0tuDiY8C3ctxq1tqvaCgkFb8cCA/edit?usp=sharing"",""สกลนคร!J519"")"),0)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IFERROR(__xludf.DUMMYFUNCTION("IMPORTRANGE(""https://docs.google.com/spreadsheets/d/1XL5vhW3sbDhbH9Cz0tuDiY8C3ctxq1tqvaCgkFb8cCA/edit?usp=sharing"",""สกลนคร!I520"")"),0)</f>
        <v>0</v>
      </c>
      <c r="J625" s="190">
        <f ca="1">IFERROR(__xludf.DUMMYFUNCTION("IMPORTRANGE(""https://docs.google.com/spreadsheets/d/1XL5vhW3sbDhbH9Cz0tuDiY8C3ctxq1tqvaCgkFb8cCA/edit?usp=sharing"",""สกลนคร!J520"")"),0)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IFERROR(__xludf.DUMMYFUNCTION("IMPORTRANGE(""https://docs.google.com/spreadsheets/d/1XL5vhW3sbDhbH9Cz0tuDiY8C3ctxq1tqvaCgkFb8cCA/edit?usp=sharing"",""สกลนคร!I521"")"),0)</f>
        <v>0</v>
      </c>
      <c r="J626" s="190">
        <f ca="1">IFERROR(__xludf.DUMMYFUNCTION("IMPORTRANGE(""https://docs.google.com/spreadsheets/d/1XL5vhW3sbDhbH9Cz0tuDiY8C3ctxq1tqvaCgkFb8cCA/edit?usp=sharing"",""สกลนคร!J521"")"),0)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1">
        <f ca="1">IFERROR(__xludf.DUMMYFUNCTION("IMPORTRANGE(""https://docs.google.com/spreadsheets/d/1XL5vhW3sbDhbH9Cz0tuDiY8C3ctxq1tqvaCgkFb8cCA/edit?usp=sharing"",""สกลนคร!J523"")"),1048840.48)</f>
        <v>1048840.48</v>
      </c>
      <c r="K628" s="342">
        <f t="shared" ref="K628:K635" ca="1" si="129">IF(I628&gt;0,J628*100/I628,0)</f>
        <v>11.631667859781535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IFERROR(__xludf.DUMMYFUNCTION("IMPORTRANGE(""https://docs.google.com/spreadsheets/d/1XL5vhW3sbDhbH9Cz0tuDiY8C3ctxq1tqvaCgkFb8cCA/edit?usp=sharing"",""สกลนคร!I524"")"),757)</f>
        <v>757</v>
      </c>
      <c r="J629" s="341">
        <f ca="1">IFERROR(__xludf.DUMMYFUNCTION("IMPORTRANGE(""https://docs.google.com/spreadsheets/d/1XL5vhW3sbDhbH9Cz0tuDiY8C3ctxq1tqvaCgkFb8cCA/edit?usp=sharing"",""สกลนคร!J524"")"),80)</f>
        <v>80</v>
      </c>
      <c r="K629" s="342">
        <f t="shared" ca="1" si="129"/>
        <v>10.568031704095112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IFERROR(__xludf.DUMMYFUNCTION("IMPORTRANGE(""https://docs.google.com/spreadsheets/d/1XL5vhW3sbDhbH9Cz0tuDiY8C3ctxq1tqvaCgkFb8cCA/edit?usp=sharing"",""สกลนคร!I525"")"),3296006.08)</f>
        <v>3296006.08</v>
      </c>
      <c r="J630" s="341">
        <f ca="1">IFERROR(__xludf.DUMMYFUNCTION("IMPORTRANGE(""https://docs.google.com/spreadsheets/d/1XL5vhW3sbDhbH9Cz0tuDiY8C3ctxq1tqvaCgkFb8cCA/edit?usp=sharing"",""สกลนคร!J525"")"),638706.39)</f>
        <v>638706.39</v>
      </c>
      <c r="K630" s="342">
        <f t="shared" ca="1" si="129"/>
        <v>19.378192105762135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IFERROR(__xludf.DUMMYFUNCTION("IMPORTRANGE(""https://docs.google.com/spreadsheets/d/1XL5vhW3sbDhbH9Cz0tuDiY8C3ctxq1tqvaCgkFb8cCA/edit?usp=sharing"",""สกลนคร!I526"")"),160)</f>
        <v>160</v>
      </c>
      <c r="J631" s="341">
        <f ca="1">IFERROR(__xludf.DUMMYFUNCTION("IMPORTRANGE(""https://docs.google.com/spreadsheets/d/1XL5vhW3sbDhbH9Cz0tuDiY8C3ctxq1tqvaCgkFb8cCA/edit?usp=sharing"",""สกลนคร!J526"")"),58)</f>
        <v>58</v>
      </c>
      <c r="K631" s="342">
        <f t="shared" ca="1" si="129"/>
        <v>36.25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IFERROR(__xludf.DUMMYFUNCTION("IMPORTRANGE(""https://docs.google.com/spreadsheets/d/1XL5vhW3sbDhbH9Cz0tuDiY8C3ctxq1tqvaCgkFb8cCA/edit?usp=sharing"",""สกลนคร!I527"")"),0)</f>
        <v>0</v>
      </c>
      <c r="J632" s="341">
        <f ca="1">IFERROR(__xludf.DUMMYFUNCTION("IMPORTRANGE(""https://docs.google.com/spreadsheets/d/1XL5vhW3sbDhbH9Cz0tuDiY8C3ctxq1tqvaCgkFb8cCA/edit?usp=sharing"",""สกลนคร!J527"")"),0)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IFERROR(__xludf.DUMMYFUNCTION("IMPORTRANGE(""https://docs.google.com/spreadsheets/d/1XL5vhW3sbDhbH9Cz0tuDiY8C3ctxq1tqvaCgkFb8cCA/edit?usp=sharing"",""สกลนคร!I528"")"),0)</f>
        <v>0</v>
      </c>
      <c r="J633" s="341">
        <f ca="1">IFERROR(__xludf.DUMMYFUNCTION("IMPORTRANGE(""https://docs.google.com/spreadsheets/d/1XL5vhW3sbDhbH9Cz0tuDiY8C3ctxq1tqvaCgkFb8cCA/edit?usp=sharing"",""สกลนคร!J528"")"),0)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IFERROR(__xludf.DUMMYFUNCTION("IMPORTRANGE(""https://docs.google.com/spreadsheets/d/1XL5vhW3sbDhbH9Cz0tuDiY8C3ctxq1tqvaCgkFb8cCA/edit?usp=sharing"",""สกลนคร!I529"")"),10000000)</f>
        <v>10000000</v>
      </c>
      <c r="J634" s="341">
        <f ca="1">IFERROR(__xludf.DUMMYFUNCTION("IMPORTRANGE(""https://docs.google.com/spreadsheets/d/1XL5vhW3sbDhbH9Cz0tuDiY8C3ctxq1tqvaCgkFb8cCA/edit?usp=sharing"",""สกลนคร!J529"")"),0)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IFERROR(__xludf.DUMMYFUNCTION("IMPORTRANGE(""https://docs.google.com/spreadsheets/d/1XL5vhW3sbDhbH9Cz0tuDiY8C3ctxq1tqvaCgkFb8cCA/edit?usp=sharing"",""สกลนคร!I530"")"),200)</f>
        <v>200</v>
      </c>
      <c r="J635" s="504">
        <f ca="1">IFERROR(__xludf.DUMMYFUNCTION("IMPORTRANGE(""https://docs.google.com/spreadsheets/d/1XL5vhW3sbDhbH9Cz0tuDiY8C3ctxq1tqvaCgkFb8cCA/edit?usp=sharing"",""สกลนคร!J530"")"),0)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activeCell="A2" sqref="A2:P2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7177257</v>
      </c>
      <c r="M8" s="23">
        <f t="shared" ca="1" si="0"/>
        <v>2840666</v>
      </c>
      <c r="N8" s="23">
        <f t="shared" ca="1" si="0"/>
        <v>3296819.87</v>
      </c>
      <c r="O8" s="22">
        <f t="shared" ref="O8:O16" ca="1" si="1">IF(L8&gt;0,N8*100/L8,0)</f>
        <v>45.934259703950964</v>
      </c>
      <c r="P8" s="22">
        <f t="shared" ref="P8:P16" ca="1" si="2">IF(M8&gt;0,N8*100/M8,0)</f>
        <v>116.05799027411177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7177257</v>
      </c>
      <c r="M10" s="30">
        <f t="shared" ca="1" si="4"/>
        <v>2840666</v>
      </c>
      <c r="N10" s="30">
        <f t="shared" ca="1" si="4"/>
        <v>3296819.87</v>
      </c>
      <c r="O10" s="29">
        <f t="shared" ca="1" si="1"/>
        <v>45.934259703950964</v>
      </c>
      <c r="P10" s="29">
        <f t="shared" ca="1" si="2"/>
        <v>116.05799027411177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6144311</v>
      </c>
      <c r="M12" s="38">
        <f t="shared" ca="1" si="6"/>
        <v>1807720</v>
      </c>
      <c r="N12" s="38">
        <f t="shared" ca="1" si="6"/>
        <v>2263873.87</v>
      </c>
      <c r="O12" s="38">
        <f t="shared" ca="1" si="1"/>
        <v>36.845040395904441</v>
      </c>
      <c r="P12" s="38">
        <f t="shared" ca="1" si="2"/>
        <v>125.23365731418582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4182311</v>
      </c>
      <c r="M14" s="38">
        <f t="shared" si="8"/>
        <v>0</v>
      </c>
      <c r="N14" s="38">
        <f t="shared" ca="1" si="8"/>
        <v>669240.87</v>
      </c>
      <c r="O14" s="38">
        <f t="shared" ca="1" si="1"/>
        <v>16.001700256150247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4330966</v>
      </c>
      <c r="M18" s="23">
        <f t="shared" ca="1" si="11"/>
        <v>2840666</v>
      </c>
      <c r="N18" s="23">
        <f t="shared" ca="1" si="11"/>
        <v>2627579</v>
      </c>
      <c r="O18" s="22">
        <f t="shared" ref="O18:O20" ca="1" si="12">IF(L18&gt;0,N18*100/L18,0)</f>
        <v>60.669582721268185</v>
      </c>
      <c r="P18" s="22">
        <f t="shared" ref="P18:P26" ca="1" si="13">IF(M18&gt;0,N18*100/M18,0)</f>
        <v>92.498695728396086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4330966</v>
      </c>
      <c r="M20" s="30">
        <f t="shared" ca="1" si="15"/>
        <v>2840666</v>
      </c>
      <c r="N20" s="30">
        <f t="shared" ca="1" si="15"/>
        <v>2627579</v>
      </c>
      <c r="O20" s="29">
        <f t="shared" ca="1" si="12"/>
        <v>60.669582721268185</v>
      </c>
      <c r="P20" s="29">
        <f t="shared" ca="1" si="13"/>
        <v>92.498695728396086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3298020</v>
      </c>
      <c r="M22" s="41">
        <f t="shared" ca="1" si="18"/>
        <v>1807720</v>
      </c>
      <c r="N22" s="38">
        <f t="shared" ca="1" si="18"/>
        <v>1594633</v>
      </c>
      <c r="O22" s="38">
        <f t="shared" ca="1" si="17"/>
        <v>48.351222854925076</v>
      </c>
      <c r="P22" s="38">
        <f t="shared" ca="1" si="13"/>
        <v>88.212389086805473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2846291</v>
      </c>
      <c r="M28" s="23">
        <f t="shared" si="23"/>
        <v>0</v>
      </c>
      <c r="N28" s="23">
        <f t="shared" ca="1" si="23"/>
        <v>669240.87</v>
      </c>
      <c r="O28" s="22">
        <f t="shared" ref="O28:O30" ca="1" si="24">IF(L28&gt;0,N28*100/L28,0)</f>
        <v>23.512735345753473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2846291</v>
      </c>
      <c r="M30" s="30">
        <f t="shared" si="27"/>
        <v>0</v>
      </c>
      <c r="N30" s="30">
        <f t="shared" ca="1" si="27"/>
        <v>669240.87</v>
      </c>
      <c r="O30" s="29">
        <f t="shared" ca="1" si="24"/>
        <v>23.512735345753473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2846291</v>
      </c>
      <c r="M32" s="38">
        <f t="shared" si="30"/>
        <v>0</v>
      </c>
      <c r="N32" s="38">
        <f t="shared" ca="1" si="30"/>
        <v>669240.87</v>
      </c>
      <c r="O32" s="38">
        <f t="shared" ca="1" si="29"/>
        <v>23.512735345753473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2846291</v>
      </c>
      <c r="M34" s="38">
        <f t="shared" si="32"/>
        <v>0</v>
      </c>
      <c r="N34" s="38">
        <f t="shared" ca="1" si="32"/>
        <v>669240.87</v>
      </c>
      <c r="O34" s="38">
        <f t="shared" ca="1" si="29"/>
        <v>23.512735345753473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4330966</v>
      </c>
      <c r="M37" s="54">
        <f t="shared" ca="1" si="33"/>
        <v>2840666</v>
      </c>
      <c r="N37" s="54">
        <f t="shared" ca="1" si="33"/>
        <v>2627579</v>
      </c>
      <c r="O37" s="55">
        <f t="shared" ca="1" si="29"/>
        <v>60.669582721268185</v>
      </c>
      <c r="P37" s="55">
        <f t="shared" ca="1" si="25"/>
        <v>92.498695728396086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1382656</v>
      </c>
      <c r="N41" s="78">
        <f t="shared" ca="1" si="34"/>
        <v>1323011</v>
      </c>
      <c r="O41" s="77">
        <f t="shared" ref="O41:O43" ca="1" si="35">IF(L41&gt;0,N41*100/L41,0)</f>
        <v>74.756689622750258</v>
      </c>
      <c r="P41" s="77">
        <f t="shared" ref="P41:P43" ca="1" si="36">IF(M41&gt;0,N41*100/M41,0)</f>
        <v>95.686201050731341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1382656</v>
      </c>
      <c r="N43" s="78">
        <f t="shared" ca="1" si="38"/>
        <v>1323011</v>
      </c>
      <c r="O43" s="77">
        <f t="shared" ca="1" si="35"/>
        <v>74.756689622750258</v>
      </c>
      <c r="P43" s="77">
        <f t="shared" ca="1" si="36"/>
        <v>95.686201050731341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533">
        <f ca="1">IFERROR(__xludf.DUMMYFUNCTION("IMPORTRANGE(""https://docs.google.com/spreadsheets/d/1Yj_ptqi66GCucihVvJfMjLAmec39IyEx_6qawtMGysU/edit?usp=sharing"",""สบก!Q52"")"),387000)</f>
        <v>387000</v>
      </c>
      <c r="N45" s="533">
        <f ca="1">IFERROR(__xludf.DUMMYFUNCTION("IMPORTRANGE(""https://docs.google.com/spreadsheets/d/1Yj_ptqi66GCucihVvJfMjLAmec39IyEx_6qawtMGysU/edit?usp=sharing"",""สบก!R52"")"),327355)</f>
        <v>327355</v>
      </c>
      <c r="O45" s="534">
        <f ca="1">IF(L45&gt;0,N45*100/L45,0)</f>
        <v>42.288464022736079</v>
      </c>
      <c r="P45" s="534">
        <f ca="1">IF(M45&gt;0,N45*100/M45,0)</f>
        <v>84.587855297157617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IFERROR(__xludf.DUMMYFUNCTION("IMPORTRANGE(""https://docs.google.com/spreadsheets/d/1Yj_ptqi66GCucihVvJfMjLAmec39IyEx_6qawtMGysU/edit?usp=sharing"",""สบก!M52"")"),774100)</f>
        <v>774100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IFERROR(__xludf.DUMMYFUNCTION("IMPORTRANGE(""https://docs.google.com/spreadsheets/d/1Yj_ptqi66GCucihVvJfMjLAmec39IyEx_6qawtMGysU/edit?usp=sharing"",""สบก!N52"")"),0)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IFERROR(__xludf.DUMMYFUNCTION("IMPORTRANGE(""https://docs.google.com/spreadsheets/d/1Yj_ptqi66GCucihVvJfMjLAmec39IyEx_6qawtMGysU/edit?usp=sharing"",""สบก!O52"")"),995656)</f>
        <v>995656</v>
      </c>
      <c r="M49" s="536">
        <f ca="1">L49</f>
        <v>995656</v>
      </c>
      <c r="N49" s="533">
        <f ca="1">IFERROR(__xludf.DUMMYFUNCTION("IMPORTRANGE(""https://docs.google.com/spreadsheets/d/1Yj_ptqi66GCucihVvJfMjLAmec39IyEx_6qawtMGysU/edit?usp=sharing"",""สบก!S52"")"),995656)</f>
        <v>995656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227340</v>
      </c>
      <c r="N53" s="121">
        <f t="shared" ca="1" si="39"/>
        <v>217705</v>
      </c>
      <c r="O53" s="120">
        <f t="shared" ref="O53:O55" ca="1" si="40">IF(L53&gt;0,N53*100/L53,0)</f>
        <v>50.818160597572366</v>
      </c>
      <c r="P53" s="120">
        <f t="shared" ref="P53:P55" ca="1" si="41">IF(M53&gt;0,N53*100/M53,0)</f>
        <v>95.761854491070636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227340</v>
      </c>
      <c r="N55" s="121">
        <f t="shared" ca="1" si="43"/>
        <v>217705</v>
      </c>
      <c r="O55" s="120">
        <f t="shared" ca="1" si="40"/>
        <v>50.818160597572366</v>
      </c>
      <c r="P55" s="120">
        <f t="shared" ca="1" si="41"/>
        <v>95.761854491070636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533">
        <f ca="1">IFERROR(__xludf.DUMMYFUNCTION("IMPORTRANGE(""https://docs.google.com/spreadsheets/d/1Yj_ptqi66GCucihVvJfMjLAmec39IyEx_6qawtMGysU/edit?usp=sharing"",""สบก!Z52"")"),227340)</f>
        <v>227340</v>
      </c>
      <c r="N57" s="533">
        <f ca="1">IFERROR(__xludf.DUMMYFUNCTION("IMPORTRANGE(""https://docs.google.com/spreadsheets/d/1Yj_ptqi66GCucihVvJfMjLAmec39IyEx_6qawtMGysU/edit?usp=sharing"",""สบก!AA52"")"),217705)</f>
        <v>217705</v>
      </c>
      <c r="O57" s="534">
        <f ca="1">IF(L57&gt;0,N57*100/L57,0)</f>
        <v>50.818160597572366</v>
      </c>
      <c r="P57" s="534">
        <f ca="1">IF(M57&gt;0,N57*100/M57,0)</f>
        <v>95.761854491070636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IFERROR(__xludf.DUMMYFUNCTION("IMPORTRANGE(""https://docs.google.com/spreadsheets/d/1Yj_ptqi66GCucihVvJfMjLAmec39IyEx_6qawtMGysU/edit?usp=sharing"",""สบก!V52"")"),428400)</f>
        <v>428400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IFERROR(__xludf.DUMMYFUNCTION("IMPORTRANGE(""https://docs.google.com/spreadsheets/d/1Yj_ptqi66GCucihVvJfMjLAmec39IyEx_6qawtMGysU/edit?usp=sharing"",""สบก!W52"")"),0)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IFERROR(__xludf.DUMMYFUNCTION("IMPORTRANGE(""https://docs.google.com/spreadsheets/d/1Yj_ptqi66GCucihVvJfMjLAmec39IyEx_6qawtMGysU/edit?usp=sharing"",""สบก!X52"")"),0)</f>
        <v>0</v>
      </c>
      <c r="M61" s="536"/>
      <c r="N61" s="533">
        <f ca="1">IFERROR(__xludf.DUMMYFUNCTION("IMPORTRANGE(""https://docs.google.com/spreadsheets/d/1Yj_ptqi66GCucihVvJfMjLAmec39IyEx_6qawtMGysU/edit?usp=sharing"",""สบก!AB52"")"),0)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537">
        <f ca="1">IFERROR(__xludf.DUMMYFUNCTION("IMPORTRANGE(""https://docs.google.com/spreadsheets/d/1Yj_ptqi66GCucihVvJfMjLAmec39IyEx_6qawtMGysU/edit?usp=sharing"",""สบก!AI52"")"),0)</f>
        <v>0</v>
      </c>
      <c r="N70" s="538">
        <f ca="1">IFERROR(__xludf.DUMMYFUNCTION("IMPORTRANGE(""https://docs.google.com/spreadsheets/d/1Yj_ptqi66GCucihVvJfMjLAmec39IyEx_6qawtMGysU/edit?usp=sharing"",""สบก!AJ52"")"),0)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IFERROR(__xludf.DUMMYFUNCTION("IMPORTRANGE(""https://docs.google.com/spreadsheets/d/1Yj_ptqi66GCucihVvJfMjLAmec39IyEx_6qawtMGysU/edit?usp=sharing"",""สบก!AE52"")"),0)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IFERROR(__xludf.DUMMYFUNCTION("IMPORTRANGE(""https://docs.google.com/spreadsheets/d/1Yj_ptqi66GCucihVvJfMjLAmec39IyEx_6qawtMGysU/edit?usp=sharing"",""สบก!AF52"")"),0)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IFERROR(__xludf.DUMMYFUNCTION("IMPORTRANGE(""https://docs.google.com/spreadsheets/d/1Yj_ptqi66GCucihVvJfMjLAmec39IyEx_6qawtMGysU/edit?usp=sharing"",""สบก!AG52"")"),0)</f>
        <v>0</v>
      </c>
      <c r="M74" s="536"/>
      <c r="N74" s="533">
        <f ca="1">IFERROR(__xludf.DUMMYFUNCTION("IMPORTRANGE(""https://docs.google.com/spreadsheets/d/1Yj_ptqi66GCucihVvJfMjLAmec39IyEx_6qawtMGysU/edit?usp=sharing"",""สบก!AK52"")"),0)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IFERROR(__xludf.DUMMYFUNCTION("IMPORTRANGE(""https://docs.google.com/spreadsheets/d/1XL5vhW3sbDhbH9Cz0tuDiY8C3ctxq1tqvaCgkFb8cCA/edit?usp=sharing"",""สุรินทร์!J16"")"),0)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IFERROR(__xludf.DUMMYFUNCTION("IMPORTRANGE(""https://docs.google.com/spreadsheets/d/1XL5vhW3sbDhbH9Cz0tuDiY8C3ctxq1tqvaCgkFb8cCA/edit?usp=sharing"",""สุรินทร์!J17"")"),0)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IFERROR(__xludf.DUMMYFUNCTION("IMPORTRANGE(""https://docs.google.com/spreadsheets/d/1XL5vhW3sbDhbH9Cz0tuDiY8C3ctxq1tqvaCgkFb8cCA/edit?usp=sharing"",""สุรินทร์!J18"")"),0)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IFERROR(__xludf.DUMMYFUNCTION("IMPORTRANGE(""https://docs.google.com/spreadsheets/d/1XL5vhW3sbDhbH9Cz0tuDiY8C3ctxq1tqvaCgkFb8cCA/edit?usp=sharing"",""สุรินทร์!J19"")"),0)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IFERROR(__xludf.DUMMYFUNCTION("IMPORTRANGE(""https://docs.google.com/spreadsheets/d/1XL5vhW3sbDhbH9Cz0tuDiY8C3ctxq1tqvaCgkFb8cCA/edit?usp=sharing"",""สุรินทร์!I20"")"),0)</f>
        <v>0</v>
      </c>
      <c r="J80" s="202">
        <f ca="1">IFERROR(__xludf.DUMMYFUNCTION("IMPORTRANGE(""https://docs.google.com/spreadsheets/d/1XL5vhW3sbDhbH9Cz0tuDiY8C3ctxq1tqvaCgkFb8cCA/edit?usp=sharing"",""สุรินทร์!J20"")"),0)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IFERROR(__xludf.DUMMYFUNCTION("IMPORTRANGE(""https://docs.google.com/spreadsheets/d/1XL5vhW3sbDhbH9Cz0tuDiY8C3ctxq1tqvaCgkFb8cCA/edit?usp=sharing"",""สุรินทร์!I21"")"),0)</f>
        <v>0</v>
      </c>
      <c r="J81" s="202">
        <f ca="1">IFERROR(__xludf.DUMMYFUNCTION("IMPORTRANGE(""https://docs.google.com/spreadsheets/d/1XL5vhW3sbDhbH9Cz0tuDiY8C3ctxq1tqvaCgkFb8cCA/edit?usp=sharing"",""สุรินทร์!J21"")"),0)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IFERROR(__xludf.DUMMYFUNCTION("IMPORTRANGE(""https://docs.google.com/spreadsheets/d/1XL5vhW3sbDhbH9Cz0tuDiY8C3ctxq1tqvaCgkFb8cCA/edit?usp=sharing"",""สุรินทร์!I22"")"),0)</f>
        <v>0</v>
      </c>
      <c r="J82" s="205">
        <f ca="1">IFERROR(__xludf.DUMMYFUNCTION("IMPORTRANGE(""https://docs.google.com/spreadsheets/d/1XL5vhW3sbDhbH9Cz0tuDiY8C3ctxq1tqvaCgkFb8cCA/edit?usp=sharing"",""สุรินทร์!J22"")"),0)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IFERROR(__xludf.DUMMYFUNCTION("IMPORTRANGE(""https://docs.google.com/spreadsheets/d/1XL5vhW3sbDhbH9Cz0tuDiY8C3ctxq1tqvaCgkFb8cCA/edit?usp=sharing"",""สุรินทร์!I23"")"),0)</f>
        <v>0</v>
      </c>
      <c r="J83" s="205">
        <f ca="1">IFERROR(__xludf.DUMMYFUNCTION("IMPORTRANGE(""https://docs.google.com/spreadsheets/d/1XL5vhW3sbDhbH9Cz0tuDiY8C3ctxq1tqvaCgkFb8cCA/edit?usp=sharing"",""สุรินทร์!J23"")"),0)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IFERROR(__xludf.DUMMYFUNCTION("IMPORTRANGE(""https://docs.google.com/spreadsheets/d/1XL5vhW3sbDhbH9Cz0tuDiY8C3ctxq1tqvaCgkFb8cCA/edit?usp=sharing"",""สุรินทร์!I24"")"),0)</f>
        <v>0</v>
      </c>
      <c r="J84" s="190">
        <f ca="1">IFERROR(__xludf.DUMMYFUNCTION("IMPORTRANGE(""https://docs.google.com/spreadsheets/d/1XL5vhW3sbDhbH9Cz0tuDiY8C3ctxq1tqvaCgkFb8cCA/edit?usp=sharing"",""สุรินทร์!J24"")"),0)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IFERROR(__xludf.DUMMYFUNCTION("IMPORTRANGE(""https://docs.google.com/spreadsheets/d/1XL5vhW3sbDhbH9Cz0tuDiY8C3ctxq1tqvaCgkFb8cCA/edit?usp=sharing"",""สุรินทร์!I25"")"),0)</f>
        <v>0</v>
      </c>
      <c r="J85" s="190">
        <f ca="1">IFERROR(__xludf.DUMMYFUNCTION("IMPORTRANGE(""https://docs.google.com/spreadsheets/d/1XL5vhW3sbDhbH9Cz0tuDiY8C3ctxq1tqvaCgkFb8cCA/edit?usp=sharing"",""สุรินทร์!J25"")"),0)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IFERROR(__xludf.DUMMYFUNCTION("IMPORTRANGE(""https://docs.google.com/spreadsheets/d/1XL5vhW3sbDhbH9Cz0tuDiY8C3ctxq1tqvaCgkFb8cCA/edit?usp=sharing"",""สุรินทร์!I26"")"),0)</f>
        <v>0</v>
      </c>
      <c r="J86" s="205">
        <f ca="1">IFERROR(__xludf.DUMMYFUNCTION("IMPORTRANGE(""https://docs.google.com/spreadsheets/d/1XL5vhW3sbDhbH9Cz0tuDiY8C3ctxq1tqvaCgkFb8cCA/edit?usp=sharing"",""สุรินทร์!J26"")"),0)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IFERROR(__xludf.DUMMYFUNCTION("IMPORTRANGE(""https://docs.google.com/spreadsheets/d/1XL5vhW3sbDhbH9Cz0tuDiY8C3ctxq1tqvaCgkFb8cCA/edit?usp=sharing"",""สุรินทร์!I27"")"),0)</f>
        <v>0</v>
      </c>
      <c r="J87" s="205">
        <f ca="1">IFERROR(__xludf.DUMMYFUNCTION("IMPORTRANGE(""https://docs.google.com/spreadsheets/d/1XL5vhW3sbDhbH9Cz0tuDiY8C3ctxq1tqvaCgkFb8cCA/edit?usp=sharing"",""สุรินทร์!J27"")"),0)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IFERROR(__xludf.DUMMYFUNCTION("IMPORTRANGE(""https://docs.google.com/spreadsheets/d/1XL5vhW3sbDhbH9Cz0tuDiY8C3ctxq1tqvaCgkFb8cCA/edit?usp=sharing"",""สุรินทร์!I28"")"),0)</f>
        <v>0</v>
      </c>
      <c r="J88" s="205">
        <f ca="1">IFERROR(__xludf.DUMMYFUNCTION("IMPORTRANGE(""https://docs.google.com/spreadsheets/d/1XL5vhW3sbDhbH9Cz0tuDiY8C3ctxq1tqvaCgkFb8cCA/edit?usp=sharing"",""สุรินทร์!J28"")"),0)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IFERROR(__xludf.DUMMYFUNCTION("IMPORTRANGE(""https://docs.google.com/spreadsheets/d/1XL5vhW3sbDhbH9Cz0tuDiY8C3ctxq1tqvaCgkFb8cCA/edit?usp=sharing"",""สุรินทร์!J29"")"),0)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IFERROR(__xludf.DUMMYFUNCTION("IMPORTRANGE(""https://docs.google.com/spreadsheets/d/1Yj_ptqi66GCucihVvJfMjLAmec39IyEx_6qawtMGysU/edit?usp=sharing"",""สบก!AR52"")"),0)</f>
        <v>0</v>
      </c>
      <c r="N98" s="538">
        <f ca="1">IFERROR(__xludf.DUMMYFUNCTION("IMPORTRANGE(""https://docs.google.com/spreadsheets/d/1Yj_ptqi66GCucihVvJfMjLAmec39IyEx_6qawtMGysU/edit?usp=sharing"",""สบก!AS52"")"),0)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IFERROR(__xludf.DUMMYFUNCTION("IMPORTRANGE(""https://docs.google.com/spreadsheets/d/1Yj_ptqi66GCucihVvJfMjLAmec39IyEx_6qawtMGysU/edit?usp=sharing"",""สบก!AN52"")"),0)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IFERROR(__xludf.DUMMYFUNCTION("IMPORTRANGE(""https://docs.google.com/spreadsheets/d/1Yj_ptqi66GCucihVvJfMjLAmec39IyEx_6qawtMGysU/edit?usp=sharing"",""สบก!AO52"")"),0)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IFERROR(__xludf.DUMMYFUNCTION("IMPORTRANGE(""https://docs.google.com/spreadsheets/d/1Yj_ptqi66GCucihVvJfMjLAmec39IyEx_6qawtMGysU/edit?usp=sharing"",""สบก!AP52"")"),0)</f>
        <v>0</v>
      </c>
      <c r="M102" s="536"/>
      <c r="N102" s="533">
        <f ca="1">IFERROR(__xludf.DUMMYFUNCTION("IMPORTRANGE(""https://docs.google.com/spreadsheets/d/1Yj_ptqi66GCucihVvJfMjLAmec39IyEx_6qawtMGysU/edit?usp=sharing"",""สบก!AT52"")"),0)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IFERROR(__xludf.DUMMYFUNCTION("IMPORTRANGE(""https://docs.google.com/spreadsheets/d/1XL5vhW3sbDhbH9Cz0tuDiY8C3ctxq1tqvaCgkFb8cCA/edit?usp=sharing"",""สุรินทร์!I43"")"),0)</f>
        <v>0</v>
      </c>
      <c r="J108" s="205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IFERROR(__xludf.DUMMYFUNCTION("IMPORTRANGE(""https://docs.google.com/spreadsheets/d/1XL5vhW3sbDhbH9Cz0tuDiY8C3ctxq1tqvaCgkFb8cCA/edit?usp=sharing"",""สุรินทร์!I44"")"),0)</f>
        <v>0</v>
      </c>
      <c r="J109" s="205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IFERROR(__xludf.DUMMYFUNCTION("IMPORTRANGE(""https://docs.google.com/spreadsheets/d/1XL5vhW3sbDhbH9Cz0tuDiY8C3ctxq1tqvaCgkFb8cCA/edit?usp=sharing"",""สุรินทร์!I45"")"),0)</f>
        <v>0</v>
      </c>
      <c r="J110" s="205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IFERROR(__xludf.DUMMYFUNCTION("IMPORTRANGE(""https://docs.google.com/spreadsheets/d/1XL5vhW3sbDhbH9Cz0tuDiY8C3ctxq1tqvaCgkFb8cCA/edit?usp=sharing"",""สุรินทร์!I46"")"),0)</f>
        <v>0</v>
      </c>
      <c r="J111" s="205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IFERROR(__xludf.DUMMYFUNCTION("IMPORTRANGE(""https://docs.google.com/spreadsheets/d/1XL5vhW3sbDhbH9Cz0tuDiY8C3ctxq1tqvaCgkFb8cCA/edit?usp=sharing"",""สุรินทร์!I47"")"),0)</f>
        <v>0</v>
      </c>
      <c r="J112" s="205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IFERROR(__xludf.DUMMYFUNCTION("IMPORTRANGE(""https://docs.google.com/spreadsheets/d/1XL5vhW3sbDhbH9Cz0tuDiY8C3ctxq1tqvaCgkFb8cCA/edit?usp=sharing"",""สุรินทร์!I48"")"),0)</f>
        <v>0</v>
      </c>
      <c r="J113" s="205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IFERROR(__xludf.DUMMYFUNCTION("IMPORTRANGE(""https://docs.google.com/spreadsheets/d/1Yj_ptqi66GCucihVvJfMjLAmec39IyEx_6qawtMGysU/edit?usp=sharing"",""สบก!BA52"")"),0)</f>
        <v>0</v>
      </c>
      <c r="N122" s="538">
        <f ca="1">IFERROR(__xludf.DUMMYFUNCTION("IMPORTRANGE(""https://docs.google.com/spreadsheets/d/1Yj_ptqi66GCucihVvJfMjLAmec39IyEx_6qawtMGysU/edit?usp=sharing"",""สบก!BB52"")"),0)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IFERROR(__xludf.DUMMYFUNCTION("IMPORTRANGE(""https://docs.google.com/spreadsheets/d/1Yj_ptqi66GCucihVvJfMjLAmec39IyEx_6qawtMGysU/edit?usp=sharing"",""สบก!AW52"")"),0)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IFERROR(__xludf.DUMMYFUNCTION("IMPORTRANGE(""https://docs.google.com/spreadsheets/d/1Yj_ptqi66GCucihVvJfMjLAmec39IyEx_6qawtMGysU/edit?usp=sharing"",""สบก!AX52"")"),0)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IFERROR(__xludf.DUMMYFUNCTION("IMPORTRANGE(""https://docs.google.com/spreadsheets/d/1Yj_ptqi66GCucihVvJfMjLAmec39IyEx_6qawtMGysU/edit?usp=sharing"",""สบก!AY52"")"),0)</f>
        <v>0</v>
      </c>
      <c r="M126" s="536"/>
      <c r="N126" s="533">
        <f ca="1">IFERROR(__xludf.DUMMYFUNCTION("IMPORTRANGE(""https://docs.google.com/spreadsheets/d/1Yj_ptqi66GCucihVvJfMjLAmec39IyEx_6qawtMGysU/edit?usp=sharing"",""สบก!BC52"")"),0)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267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IFERROR(__xludf.DUMMYFUNCTION("IMPORTRANGE(""https://docs.google.com/spreadsheets/d/1XL5vhW3sbDhbH9Cz0tuDiY8C3ctxq1tqvaCgkFb8cCA/edit?usp=sharing"",""สุรินทร์!I62"")"),0)</f>
        <v>0</v>
      </c>
      <c r="J132" s="205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IFERROR(__xludf.DUMMYFUNCTION("IMPORTRANGE(""https://docs.google.com/spreadsheets/d/1XL5vhW3sbDhbH9Cz0tuDiY8C3ctxq1tqvaCgkFb8cCA/edit?usp=sharing"",""สุรินทร์!I63"")"),0)</f>
        <v>0</v>
      </c>
      <c r="J133" s="205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117900</v>
      </c>
      <c r="M140" s="152">
        <f t="shared" ca="1" si="64"/>
        <v>93750</v>
      </c>
      <c r="N140" s="152">
        <f t="shared" ca="1" si="64"/>
        <v>62965</v>
      </c>
      <c r="O140" s="151">
        <f t="shared" ref="O140:O142" ca="1" si="65">IF(L140&gt;0,N140*100/L140,0)</f>
        <v>53.405428329092452</v>
      </c>
      <c r="P140" s="151">
        <f t="shared" ref="P140:P142" ca="1" si="66">IF(M140&gt;0,N140*100/M140,0)</f>
        <v>67.162666666666667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117900</v>
      </c>
      <c r="M142" s="157">
        <f t="shared" ca="1" si="68"/>
        <v>93750</v>
      </c>
      <c r="N142" s="157">
        <f t="shared" ca="1" si="68"/>
        <v>62965</v>
      </c>
      <c r="O142" s="156">
        <f t="shared" ca="1" si="65"/>
        <v>53.405428329092452</v>
      </c>
      <c r="P142" s="156">
        <f t="shared" ca="1" si="66"/>
        <v>67.162666666666667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117900</v>
      </c>
      <c r="M144" s="537">
        <f ca="1">IFERROR(__xludf.DUMMYFUNCTION("IMPORTRANGE(""https://docs.google.com/spreadsheets/d/1Yj_ptqi66GCucihVvJfMjLAmec39IyEx_6qawtMGysU/edit?usp=sharing"",""สบก!BJ52"")"),93750)</f>
        <v>93750</v>
      </c>
      <c r="N144" s="538">
        <f ca="1">IFERROR(__xludf.DUMMYFUNCTION("IMPORTRANGE(""https://docs.google.com/spreadsheets/d/1Yj_ptqi66GCucihVvJfMjLAmec39IyEx_6qawtMGysU/edit?usp=sharing"",""สบก!BK52"")"),62965)</f>
        <v>62965</v>
      </c>
      <c r="O144" s="170">
        <f ca="1">IF(L144&gt;0,N144*100/L144,0)</f>
        <v>53.405428329092452</v>
      </c>
      <c r="P144" s="170">
        <f ca="1">IF(M144&gt;0,N144*100/M144,0)</f>
        <v>67.162666666666667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IFERROR(__xludf.DUMMYFUNCTION("IMPORTRANGE(""https://docs.google.com/spreadsheets/d/1Yj_ptqi66GCucihVvJfMjLAmec39IyEx_6qawtMGysU/edit?usp=sharing"",""สบก!BF52"")"),0)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IFERROR(__xludf.DUMMYFUNCTION("IMPORTRANGE(""https://docs.google.com/spreadsheets/d/1Yj_ptqi66GCucihVvJfMjLAmec39IyEx_6qawtMGysU/edit?usp=sharing"",""สบก!BG52"")"),117900)</f>
        <v>117900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IFERROR(__xludf.DUMMYFUNCTION("IMPORTRANGE(""https://docs.google.com/spreadsheets/d/1Yj_ptqi66GCucihVvJfMjLAmec39IyEx_6qawtMGysU/edit?usp=sharing"",""สบก!BH52"")"),0)</f>
        <v>0</v>
      </c>
      <c r="M148" s="536"/>
      <c r="N148" s="533">
        <f ca="1">IFERROR(__xludf.DUMMYFUNCTION("IMPORTRANGE(""https://docs.google.com/spreadsheets/d/1Yj_ptqi66GCucihVvJfMjLAmec39IyEx_6qawtMGysU/edit?usp=sharing"",""สบก!BL52"")"),0)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IFERROR(__xludf.DUMMYFUNCTION("IMPORTRANGE(""https://docs.google.com/spreadsheets/d/1XL5vhW3sbDhbH9Cz0tuDiY8C3ctxq1tqvaCgkFb8cCA/edit?usp=sharing"",""สุรินทร์!J79"")"),0)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IFERROR(__xludf.DUMMYFUNCTION("IMPORTRANGE(""https://docs.google.com/spreadsheets/d/1XL5vhW3sbDhbH9Cz0tuDiY8C3ctxq1tqvaCgkFb8cCA/edit?usp=sharing"",""สุรินทร์!J80"")"),1)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IFERROR(__xludf.DUMMYFUNCTION("IMPORTRANGE(""https://docs.google.com/spreadsheets/d/1XL5vhW3sbDhbH9Cz0tuDiY8C3ctxq1tqvaCgkFb8cCA/edit?usp=sharing"",""สุรินทร์!J81"")"),1)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IFERROR(__xludf.DUMMYFUNCTION("IMPORTRANGE(""https://docs.google.com/spreadsheets/d/1XL5vhW3sbDhbH9Cz0tuDiY8C3ctxq1tqvaCgkFb8cCA/edit?usp=sharing"",""สุรินทร์!J82"")"),1)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IFERROR(__xludf.DUMMYFUNCTION("IMPORTRANGE(""https://docs.google.com/spreadsheets/d/1XL5vhW3sbDhbH9Cz0tuDiY8C3ctxq1tqvaCgkFb8cCA/edit?usp=sharing"",""สุรินทร์!I83"")"),4)</f>
        <v>4</v>
      </c>
      <c r="J158" s="190">
        <f ca="1">IFERROR(__xludf.DUMMYFUNCTION("IMPORTRANGE(""https://docs.google.com/spreadsheets/d/1XL5vhW3sbDhbH9Cz0tuDiY8C3ctxq1tqvaCgkFb8cCA/edit?usp=sharing"",""สุรินทร์!J83"")"),1)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IFERROR(__xludf.DUMMYFUNCTION("IMPORTRANGE(""https://docs.google.com/spreadsheets/d/1XL5vhW3sbDhbH9Cz0tuDiY8C3ctxq1tqvaCgkFb8cCA/edit?usp=sharing"",""สุรินทร์!J84"")"),80)</f>
        <v>80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IFERROR(__xludf.DUMMYFUNCTION("IMPORTRANGE(""https://docs.google.com/spreadsheets/d/1XL5vhW3sbDhbH9Cz0tuDiY8C3ctxq1tqvaCgkFb8cCA/edit?usp=sharing"",""สุรินทร์!J85"")"),80)</f>
        <v>80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IFERROR(__xludf.DUMMYFUNCTION("IMPORTRANGE(""https://docs.google.com/spreadsheets/d/1XL5vhW3sbDhbH9Cz0tuDiY8C3ctxq1tqvaCgkFb8cCA/edit?usp=sharing"",""สุรินทร์!J86"")"),0)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IFERROR(__xludf.DUMMYFUNCTION("IMPORTRANGE(""https://docs.google.com/spreadsheets/d/1XL5vhW3sbDhbH9Cz0tuDiY8C3ctxq1tqvaCgkFb8cCA/edit?usp=sharing"",""สุรินทร์!J87"")"),0)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IFERROR(__xludf.DUMMYFUNCTION("IMPORTRANGE(""https://docs.google.com/spreadsheets/d/1XL5vhW3sbDhbH9Cz0tuDiY8C3ctxq1tqvaCgkFb8cCA/edit?usp=sharing"",""สุรินทร์!I89"")"),3)</f>
        <v>3</v>
      </c>
      <c r="J164" s="284">
        <f ca="1">IFERROR(__xludf.DUMMYFUNCTION("IMPORTRANGE(""https://docs.google.com/spreadsheets/d/1XL5vhW3sbDhbH9Cz0tuDiY8C3ctxq1tqvaCgkFb8cCA/edit?usp=sharing"",""สุรินทร์!J89"")"),3)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IFERROR(__xludf.DUMMYFUNCTION("IMPORTRANGE(""https://docs.google.com/spreadsheets/d/1XL5vhW3sbDhbH9Cz0tuDiY8C3ctxq1tqvaCgkFb8cCA/edit?usp=sharing"",""สุรินทร์!J94"")"),0)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IFERROR(__xludf.DUMMYFUNCTION("IMPORTRANGE(""https://docs.google.com/spreadsheets/d/1XL5vhW3sbDhbH9Cz0tuDiY8C3ctxq1tqvaCgkFb8cCA/edit?usp=sharing"",""สุรินทร์!J95"")"),1)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IFERROR(__xludf.DUMMYFUNCTION("IMPORTRANGE(""https://docs.google.com/spreadsheets/d/1XL5vhW3sbDhbH9Cz0tuDiY8C3ctxq1tqvaCgkFb8cCA/edit?usp=sharing"",""สุรินทร์!J96"")"),1)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IFERROR(__xludf.DUMMYFUNCTION("IMPORTRANGE(""https://docs.google.com/spreadsheets/d/1XL5vhW3sbDhbH9Cz0tuDiY8C3ctxq1tqvaCgkFb8cCA/edit?usp=sharing"",""สุรินทร์!J97"")"),1)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IFERROR(__xludf.DUMMYFUNCTION("IMPORTRANGE(""https://docs.google.com/spreadsheets/d/1XL5vhW3sbDhbH9Cz0tuDiY8C3ctxq1tqvaCgkFb8cCA/edit?usp=sharing"",""สุรินทร์!I98"")"),3)</f>
        <v>3</v>
      </c>
      <c r="J173" s="190">
        <f ca="1">IFERROR(__xludf.DUMMYFUNCTION("IMPORTRANGE(""https://docs.google.com/spreadsheets/d/1XL5vhW3sbDhbH9Cz0tuDiY8C3ctxq1tqvaCgkFb8cCA/edit?usp=sharing"",""สุรินทร์!J98"")"),3)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IFERROR(__xludf.DUMMYFUNCTION("IMPORTRANGE(""https://docs.google.com/spreadsheets/d/1XL5vhW3sbDhbH9Cz0tuDiY8C3ctxq1tqvaCgkFb8cCA/edit?usp=sharing"",""สุรินทร์!J99"")"),0)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IFERROR(__xludf.DUMMYFUNCTION("IMPORTRANGE(""https://docs.google.com/spreadsheets/d/1XL5vhW3sbDhbH9Cz0tuDiY8C3ctxq1tqvaCgkFb8cCA/edit?usp=sharing"",""สุรินทร์!I101"")"),4)</f>
        <v>4</v>
      </c>
      <c r="J176" s="284">
        <f ca="1">IFERROR(__xludf.DUMMYFUNCTION("IMPORTRANGE(""https://docs.google.com/spreadsheets/d/1XL5vhW3sbDhbH9Cz0tuDiY8C3ctxq1tqvaCgkFb8cCA/edit?usp=sharing"",""สุรินทร์!J101"")"),4)</f>
        <v>4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IFERROR(__xludf.DUMMYFUNCTION("IMPORTRANGE(""https://docs.google.com/spreadsheets/d/1XL5vhW3sbDhbH9Cz0tuDiY8C3ctxq1tqvaCgkFb8cCA/edit?usp=sharing"",""สุรินทร์!I110"")"),4)</f>
        <v>4</v>
      </c>
      <c r="J185" s="205">
        <f ca="1">IFERROR(__xludf.DUMMYFUNCTION("IMPORTRANGE(""https://docs.google.com/spreadsheets/d/1XL5vhW3sbDhbH9Cz0tuDiY8C3ctxq1tqvaCgkFb8cCA/edit?usp=sharing"",""สุรินทร์!J110"")"),0)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IFERROR(__xludf.DUMMYFUNCTION("IMPORTRANGE(""https://docs.google.com/spreadsheets/d/1XL5vhW3sbDhbH9Cz0tuDiY8C3ctxq1tqvaCgkFb8cCA/edit?usp=sharing"",""สุรินทร์!I111"")"),4)</f>
        <v>4</v>
      </c>
      <c r="J186" s="205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IFERROR(__xludf.DUMMYFUNCTION("IMPORTRANGE(""https://docs.google.com/spreadsheets/d/1XL5vhW3sbDhbH9Cz0tuDiY8C3ctxq1tqvaCgkFb8cCA/edit?usp=sharing"",""สุรินทร์!I114"")"),15000)</f>
        <v>15000</v>
      </c>
      <c r="J189" s="284">
        <f ca="1">IFERROR(__xludf.DUMMYFUNCTION("IMPORTRANGE(""https://docs.google.com/spreadsheets/d/1XL5vhW3sbDhbH9Cz0tuDiY8C3ctxq1tqvaCgkFb8cCA/edit?usp=sharing"",""สุรินทร์!J114"")"),0)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IFERROR(__xludf.DUMMYFUNCTION("IMPORTRANGE(""https://docs.google.com/spreadsheets/d/1XL5vhW3sbDhbH9Cz0tuDiY8C3ctxq1tqvaCgkFb8cCA/edit?usp=sharing"",""สุรินทร์!J119"")"),0)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IFERROR(__xludf.DUMMYFUNCTION("IMPORTRANGE(""https://docs.google.com/spreadsheets/d/1XL5vhW3sbDhbH9Cz0tuDiY8C3ctxq1tqvaCgkFb8cCA/edit?usp=sharing"",""สุรินทร์!J120"")"),1)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IFERROR(__xludf.DUMMYFUNCTION("IMPORTRANGE(""https://docs.google.com/spreadsheets/d/1XL5vhW3sbDhbH9Cz0tuDiY8C3ctxq1tqvaCgkFb8cCA/edit?usp=sharing"",""สุรินทร์!J121"")"),0)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IFERROR(__xludf.DUMMYFUNCTION("IMPORTRANGE(""https://docs.google.com/spreadsheets/d/1XL5vhW3sbDhbH9Cz0tuDiY8C3ctxq1tqvaCgkFb8cCA/edit?usp=sharing"",""สุรินทร์!J122"")"),0)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IFERROR(__xludf.DUMMYFUNCTION("IMPORTRANGE(""https://docs.google.com/spreadsheets/d/1XL5vhW3sbDhbH9Cz0tuDiY8C3ctxq1tqvaCgkFb8cCA/edit?usp=sharing"",""สุรินทร์!I124"")"),15000)</f>
        <v>15000</v>
      </c>
      <c r="J199" s="190">
        <f ca="1">IFERROR(__xludf.DUMMYFUNCTION("IMPORTRANGE(""https://docs.google.com/spreadsheets/d/1XL5vhW3sbDhbH9Cz0tuDiY8C3ctxq1tqvaCgkFb8cCA/edit?usp=sharing"",""สุรินทร์!J124"")"),0)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IFERROR(__xludf.DUMMYFUNCTION("IMPORTRANGE(""https://docs.google.com/spreadsheets/d/1XL5vhW3sbDhbH9Cz0tuDiY8C3ctxq1tqvaCgkFb8cCA/edit?usp=sharing"",""สุรินทร์!I125"")"),15000)</f>
        <v>15000</v>
      </c>
      <c r="J200" s="190">
        <f ca="1">IFERROR(__xludf.DUMMYFUNCTION("IMPORTRANGE(""https://docs.google.com/spreadsheets/d/1XL5vhW3sbDhbH9Cz0tuDiY8C3ctxq1tqvaCgkFb8cCA/edit?usp=sharing"",""สุรินทร์!J125"")"),0)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IFERROR(__xludf.DUMMYFUNCTION("IMPORTRANGE(""https://docs.google.com/spreadsheets/d/1XL5vhW3sbDhbH9Cz0tuDiY8C3ctxq1tqvaCgkFb8cCA/edit?usp=sharing"",""สุรินทร์!I126"")"),0)</f>
        <v>0</v>
      </c>
      <c r="J201" s="190">
        <f ca="1">IFERROR(__xludf.DUMMYFUNCTION("IMPORTRANGE(""https://docs.google.com/spreadsheets/d/1XL5vhW3sbDhbH9Cz0tuDiY8C3ctxq1tqvaCgkFb8cCA/edit?usp=sharing"",""สุรินทร์!J126"")"),0)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IFERROR(__xludf.DUMMYFUNCTION("IMPORTRANGE(""https://docs.google.com/spreadsheets/d/1XL5vhW3sbDhbH9Cz0tuDiY8C3ctxq1tqvaCgkFb8cCA/edit?usp=sharing"",""สุรินทร์!J127"")"),0)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IFERROR(__xludf.DUMMYFUNCTION("IMPORTRANGE(""https://docs.google.com/spreadsheets/d/1XL5vhW3sbDhbH9Cz0tuDiY8C3ctxq1tqvaCgkFb8cCA/edit?usp=sharing"",""สุรินทร์!J128"")"),0)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IFERROR(__xludf.DUMMYFUNCTION("IMPORTRANGE(""https://docs.google.com/spreadsheets/d/1XL5vhW3sbDhbH9Cz0tuDiY8C3ctxq1tqvaCgkFb8cCA/edit?usp=sharing"",""สุรินทร์!I129"")"),0)</f>
        <v>0</v>
      </c>
      <c r="J204" s="284">
        <f ca="1">IFERROR(__xludf.DUMMYFUNCTION("IMPORTRANGE(""https://docs.google.com/spreadsheets/d/1XL5vhW3sbDhbH9Cz0tuDiY8C3ctxq1tqvaCgkFb8cCA/edit?usp=sharing"",""สุรินทร์!J129"")"),0)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IFERROR(__xludf.DUMMYFUNCTION("IMPORTRANGE(""https://docs.google.com/spreadsheets/d/1XL5vhW3sbDhbH9Cz0tuDiY8C3ctxq1tqvaCgkFb8cCA/edit?usp=sharing"",""สุรินทร์!I138"")"),0)</f>
        <v>0</v>
      </c>
      <c r="J213" s="205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IFERROR(__xludf.DUMMYFUNCTION("IMPORTRANGE(""https://docs.google.com/spreadsheets/d/1XL5vhW3sbDhbH9Cz0tuDiY8C3ctxq1tqvaCgkFb8cCA/edit?usp=sharing"",""สุรินทร์!I140"")"),0)</f>
        <v>0</v>
      </c>
      <c r="J215" s="205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IFERROR(__xludf.DUMMYFUNCTION("IMPORTRANGE(""https://docs.google.com/spreadsheets/d/1XL5vhW3sbDhbH9Cz0tuDiY8C3ctxq1tqvaCgkFb8cCA/edit?usp=sharing"",""สุรินทร์!I141"")"),0)</f>
        <v>0</v>
      </c>
      <c r="J216" s="205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IFERROR(__xludf.DUMMYFUNCTION("IMPORTRANGE(""https://docs.google.com/spreadsheets/d/1Yj_ptqi66GCucihVvJfMjLAmec39IyEx_6qawtMGysU/edit?usp=sharing"",""สบก!BS52"")"),20210)</f>
        <v>20210</v>
      </c>
      <c r="N224" s="538">
        <f ca="1">IFERROR(__xludf.DUMMYFUNCTION("IMPORTRANGE(""https://docs.google.com/spreadsheets/d/1Yj_ptqi66GCucihVvJfMjLAmec39IyEx_6qawtMGysU/edit?usp=sharing"",""สบก!BT52"")"),20210)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IFERROR(__xludf.DUMMYFUNCTION("IMPORTRANGE(""https://docs.google.com/spreadsheets/d/1Yj_ptqi66GCucihVvJfMjLAmec39IyEx_6qawtMGysU/edit?usp=sharing"",""สบก!BO52"")"),0)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IFERROR(__xludf.DUMMYFUNCTION("IMPORTRANGE(""https://docs.google.com/spreadsheets/d/1Yj_ptqi66GCucihVvJfMjLAmec39IyEx_6qawtMGysU/edit?usp=sharing"",""สบก!BP52"")"),20210)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IFERROR(__xludf.DUMMYFUNCTION("IMPORTRANGE(""https://docs.google.com/spreadsheets/d/1Yj_ptqi66GCucihVvJfMjLAmec39IyEx_6qawtMGysU/edit?usp=sharing"",""สบก!BQ52"")"),0)</f>
        <v>0</v>
      </c>
      <c r="M228" s="536"/>
      <c r="N228" s="533">
        <f ca="1">IFERROR(__xludf.DUMMYFUNCTION("IMPORTRANGE(""https://docs.google.com/spreadsheets/d/1Yj_ptqi66GCucihVvJfMjLAmec39IyEx_6qawtMGysU/edit?usp=sharing"",""สบก!BU52"")"),0)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IFERROR(__xludf.DUMMYFUNCTION("IMPORTRANGE(""https://docs.google.com/spreadsheets/d/1XL5vhW3sbDhbH9Cz0tuDiY8C3ctxq1tqvaCgkFb8cCA/edit?usp=sharing"",""สุรินทร์!J151"")"),0)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IFERROR(__xludf.DUMMYFUNCTION("IMPORTRANGE(""https://docs.google.com/spreadsheets/d/1XL5vhW3sbDhbH9Cz0tuDiY8C3ctxq1tqvaCgkFb8cCA/edit?usp=sharing"",""สุรินทร์!J152"")"),1)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IFERROR(__xludf.DUMMYFUNCTION("IMPORTRANGE(""https://docs.google.com/spreadsheets/d/1XL5vhW3sbDhbH9Cz0tuDiY8C3ctxq1tqvaCgkFb8cCA/edit?usp=sharing"",""สุรินทร์!J153"")"),1)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IFERROR(__xludf.DUMMYFUNCTION("IMPORTRANGE(""https://docs.google.com/spreadsheets/d/1XL5vhW3sbDhbH9Cz0tuDiY8C3ctxq1tqvaCgkFb8cCA/edit?usp=sharing"",""สุรินทร์!J154"")"),1)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IFERROR(__xludf.DUMMYFUNCTION("IMPORTRANGE(""https://docs.google.com/spreadsheets/d/1XL5vhW3sbDhbH9Cz0tuDiY8C3ctxq1tqvaCgkFb8cCA/edit?usp=sharing"",""สุรินทร์!I155"")"),14)</f>
        <v>14</v>
      </c>
      <c r="J235" s="190">
        <f ca="1">IFERROR(__xludf.DUMMYFUNCTION("IMPORTRANGE(""https://docs.google.com/spreadsheets/d/1XL5vhW3sbDhbH9Cz0tuDiY8C3ctxq1tqvaCgkFb8cCA/edit?usp=sharing"",""สุรินทร์!J155"")"),14)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IFERROR(__xludf.DUMMYFUNCTION("IMPORTRANGE(""https://docs.google.com/spreadsheets/d/1XL5vhW3sbDhbH9Cz0tuDiY8C3ctxq1tqvaCgkFb8cCA/edit?usp=sharing"",""สุรินทร์!J156"")"),0)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IFERROR(__xludf.DUMMYFUNCTION("IMPORTRANGE(""https://docs.google.com/spreadsheets/d/1XL5vhW3sbDhbH9Cz0tuDiY8C3ctxq1tqvaCgkFb8cCA/edit?usp=sharing"",""สุรินทร์!J157"")"),0)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IFERROR(__xludf.DUMMYFUNCTION("IMPORTRANGE(""https://docs.google.com/spreadsheets/d/1XL5vhW3sbDhbH9Cz0tuDiY8C3ctxq1tqvaCgkFb8cCA/edit?usp=sharing"",""สุรินทร์!J159"")"),"")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IFERROR(__xludf.DUMMYFUNCTION("IMPORTRANGE(""https://docs.google.com/spreadsheets/d/1XL5vhW3sbDhbH9Cz0tuDiY8C3ctxq1tqvaCgkFb8cCA/edit?usp=sharing"",""สุรินทร์!J161"")"),0)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IFERROR(__xludf.DUMMYFUNCTION("IMPORTRANGE(""https://docs.google.com/spreadsheets/d/1XL5vhW3sbDhbH9Cz0tuDiY8C3ctxq1tqvaCgkFb8cCA/edit?usp=sharing"",""สุรินทร์!J162"")"),0)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IFERROR(__xludf.DUMMYFUNCTION("IMPORTRANGE(""https://docs.google.com/spreadsheets/d/1XL5vhW3sbDhbH9Cz0tuDiY8C3ctxq1tqvaCgkFb8cCA/edit?usp=sharing"",""สุรินทร์!J163"")"),0)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IFERROR(__xludf.DUMMYFUNCTION("IMPORTRANGE(""https://docs.google.com/spreadsheets/d/1XL5vhW3sbDhbH9Cz0tuDiY8C3ctxq1tqvaCgkFb8cCA/edit?usp=sharing"",""สุรินทร์!I164"")"),0)</f>
        <v>0</v>
      </c>
      <c r="J244" s="189">
        <f ca="1">IFERROR(__xludf.DUMMYFUNCTION("IMPORTRANGE(""https://docs.google.com/spreadsheets/d/1XL5vhW3sbDhbH9Cz0tuDiY8C3ctxq1tqvaCgkFb8cCA/edit?usp=sharing"",""สุรินทร์!J164"")"),0)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IFERROR(__xludf.DUMMYFUNCTION("IMPORTRANGE(""https://docs.google.com/spreadsheets/d/1XL5vhW3sbDhbH9Cz0tuDiY8C3ctxq1tqvaCgkFb8cCA/edit?usp=sharing"",""สุรินทร์!J165"")"),0)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IFERROR(__xludf.DUMMYFUNCTION("IMPORTRANGE(""https://docs.google.com/spreadsheets/d/1XL5vhW3sbDhbH9Cz0tuDiY8C3ctxq1tqvaCgkFb8cCA/edit?usp=sharing"",""สุรินทร์!I169"")"),0)</f>
        <v>0</v>
      </c>
      <c r="J249" s="316">
        <f ca="1">IFERROR(__xludf.DUMMYFUNCTION("IMPORTRANGE(""https://docs.google.com/spreadsheets/d/1XL5vhW3sbDhbH9Cz0tuDiY8C3ctxq1tqvaCgkFb8cCA/edit?usp=sharing"",""สุรินทร์!J169"")"),0)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IFERROR(__xludf.DUMMYFUNCTION("IMPORTRANGE(""https://docs.google.com/spreadsheets/d/1Yj_ptqi66GCucihVvJfMjLAmec39IyEx_6qawtMGysU/edit?usp=sharing"",""สบก!CB52"")"),0)</f>
        <v>0</v>
      </c>
      <c r="N254" s="538">
        <f ca="1">IFERROR(__xludf.DUMMYFUNCTION("IMPORTRANGE(""https://docs.google.com/spreadsheets/d/1Yj_ptqi66GCucihVvJfMjLAmec39IyEx_6qawtMGysU/edit?usp=sharing"",""สบก!CC52"")"),0)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IFERROR(__xludf.DUMMYFUNCTION("IMPORTRANGE(""https://docs.google.com/spreadsheets/d/1Yj_ptqi66GCucihVvJfMjLAmec39IyEx_6qawtMGysU/edit?usp=sharing"",""สบก!BX52"")"),0)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IFERROR(__xludf.DUMMYFUNCTION("IMPORTRANGE(""https://docs.google.com/spreadsheets/d/1Yj_ptqi66GCucihVvJfMjLAmec39IyEx_6qawtMGysU/edit?usp=sharing"",""สบก!BY52"")"),0)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IFERROR(__xludf.DUMMYFUNCTION("IMPORTRANGE(""https://docs.google.com/spreadsheets/d/1Yj_ptqi66GCucihVvJfMjLAmec39IyEx_6qawtMGysU/edit?usp=sharing"",""สบก!BZ52"")"),0)</f>
        <v>0</v>
      </c>
      <c r="M258" s="536"/>
      <c r="N258" s="533">
        <f ca="1">IFERROR(__xludf.DUMMYFUNCTION("IMPORTRANGE(""https://docs.google.com/spreadsheets/d/1Yj_ptqi66GCucihVvJfMjLAmec39IyEx_6qawtMGysU/edit?usp=sharing"",""สบก!CD52"")"),0)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IFERROR(__xludf.DUMMYFUNCTION("IMPORTRANGE(""https://docs.google.com/spreadsheets/d/1XL5vhW3sbDhbH9Cz0tuDiY8C3ctxq1tqvaCgkFb8cCA/edit?usp=sharing"",""สุรินทร์!J175"")"),0)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IFERROR(__xludf.DUMMYFUNCTION("IMPORTRANGE(""https://docs.google.com/spreadsheets/d/1XL5vhW3sbDhbH9Cz0tuDiY8C3ctxq1tqvaCgkFb8cCA/edit?usp=sharing"",""สุรินทร์!J176"")"),0)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IFERROR(__xludf.DUMMYFUNCTION("IMPORTRANGE(""https://docs.google.com/spreadsheets/d/1XL5vhW3sbDhbH9Cz0tuDiY8C3ctxq1tqvaCgkFb8cCA/edit?usp=sharing"",""สุรินทร์!J177"")"),0)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IFERROR(__xludf.DUMMYFUNCTION("IMPORTRANGE(""https://docs.google.com/spreadsheets/d/1XL5vhW3sbDhbH9Cz0tuDiY8C3ctxq1tqvaCgkFb8cCA/edit?usp=sharing"",""สุรินทร์!J178"")"),0)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IFERROR(__xludf.DUMMYFUNCTION("IMPORTRANGE(""https://docs.google.com/spreadsheets/d/1XL5vhW3sbDhbH9Cz0tuDiY8C3ctxq1tqvaCgkFb8cCA/edit?usp=sharing"",""สุรินทร์!I179"")"),0)</f>
        <v>0</v>
      </c>
      <c r="J264" s="190">
        <f ca="1">IFERROR(__xludf.DUMMYFUNCTION("IMPORTRANGE(""https://docs.google.com/spreadsheets/d/1XL5vhW3sbDhbH9Cz0tuDiY8C3ctxq1tqvaCgkFb8cCA/edit?usp=sharing"",""สุรินทร์!J179"")"),0)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IFERROR(__xludf.DUMMYFUNCTION("IMPORTRANGE(""https://docs.google.com/spreadsheets/d/1XL5vhW3sbDhbH9Cz0tuDiY8C3ctxq1tqvaCgkFb8cCA/edit?usp=sharing"",""สุรินทร์!I180"")"),0)</f>
        <v>0</v>
      </c>
      <c r="J265" s="190">
        <f ca="1">IFERROR(__xludf.DUMMYFUNCTION("IMPORTRANGE(""https://docs.google.com/spreadsheets/d/1XL5vhW3sbDhbH9Cz0tuDiY8C3ctxq1tqvaCgkFb8cCA/edit?usp=sharing"",""สุรินทร์!J180"")"),0)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IFERROR(__xludf.DUMMYFUNCTION("IMPORTRANGE(""https://docs.google.com/spreadsheets/d/1XL5vhW3sbDhbH9Cz0tuDiY8C3ctxq1tqvaCgkFb8cCA/edit?usp=sharing"",""สุรินทร์!I181"")"),0)</f>
        <v>0</v>
      </c>
      <c r="J266" s="190">
        <f ca="1">IFERROR(__xludf.DUMMYFUNCTION("IMPORTRANGE(""https://docs.google.com/spreadsheets/d/1XL5vhW3sbDhbH9Cz0tuDiY8C3ctxq1tqvaCgkFb8cCA/edit?usp=sharing"",""สุรินทร์!J181"")"),0)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IFERROR(__xludf.DUMMYFUNCTION("IMPORTRANGE(""https://docs.google.com/spreadsheets/d/1XL5vhW3sbDhbH9Cz0tuDiY8C3ctxq1tqvaCgkFb8cCA/edit?usp=sharing"",""สุรินทร์!I182"")"),0)</f>
        <v>0</v>
      </c>
      <c r="J267" s="190">
        <f ca="1">IFERROR(__xludf.DUMMYFUNCTION("IMPORTRANGE(""https://docs.google.com/spreadsheets/d/1XL5vhW3sbDhbH9Cz0tuDiY8C3ctxq1tqvaCgkFb8cCA/edit?usp=sharing"",""สุรินทร์!J182"")"),0)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IFERROR(__xludf.DUMMYFUNCTION("IMPORTRANGE(""https://docs.google.com/spreadsheets/d/1XL5vhW3sbDhbH9Cz0tuDiY8C3ctxq1tqvaCgkFb8cCA/edit?usp=sharing"",""สุรินทร์!J183"")"),0)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IFERROR(__xludf.DUMMYFUNCTION("IMPORTRANGE(""https://docs.google.com/spreadsheets/d/1XL5vhW3sbDhbH9Cz0tuDiY8C3ctxq1tqvaCgkFb8cCA/edit?usp=sharing"",""สุรินทร์!J184"")"),0)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IFERROR(__xludf.DUMMYFUNCTION("IMPORTRANGE(""https://docs.google.com/spreadsheets/d/1XL5vhW3sbDhbH9Cz0tuDiY8C3ctxq1tqvaCgkFb8cCA/edit?usp=sharing"",""สุรินทร์!I185"")"),15)</f>
        <v>15</v>
      </c>
      <c r="J270" s="316">
        <f ca="1">IFERROR(__xludf.DUMMYFUNCTION("IMPORTRANGE(""https://docs.google.com/spreadsheets/d/1XL5vhW3sbDhbH9Cz0tuDiY8C3ctxq1tqvaCgkFb8cCA/edit?usp=sharing"",""สุรินทร์!J185"")"),15)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32170</v>
      </c>
      <c r="O271" s="151">
        <f t="shared" ref="O271:O273" ca="1" si="84">IF(L271&gt;0,N271*100/L271,0)</f>
        <v>58.278985507246375</v>
      </c>
      <c r="P271" s="151">
        <f t="shared" ref="P271:P273" ca="1" si="85">IF(M271&gt;0,N271*100/M271,0)</f>
        <v>99.751937984496124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32170</v>
      </c>
      <c r="O273" s="156">
        <f t="shared" ca="1" si="84"/>
        <v>58.278985507246375</v>
      </c>
      <c r="P273" s="156">
        <f t="shared" ca="1" si="85"/>
        <v>99.751937984496124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IFERROR(__xludf.DUMMYFUNCTION("IMPORTRANGE(""https://docs.google.com/spreadsheets/d/1Yj_ptqi66GCucihVvJfMjLAmec39IyEx_6qawtMGysU/edit?usp=sharing"",""สบก!CK52"")"),32250)</f>
        <v>32250</v>
      </c>
      <c r="N275" s="538">
        <f ca="1">IFERROR(__xludf.DUMMYFUNCTION("IMPORTRANGE(""https://docs.google.com/spreadsheets/d/1Yj_ptqi66GCucihVvJfMjLAmec39IyEx_6qawtMGysU/edit?usp=sharing"",""สบก!CL52"")"),32170)</f>
        <v>32170</v>
      </c>
      <c r="O275" s="170">
        <f ca="1">IF(L275&gt;0,N275*100/L275,0)</f>
        <v>58.278985507246375</v>
      </c>
      <c r="P275" s="170">
        <f ca="1">IF(M275&gt;0,N275*100/M275,0)</f>
        <v>99.751937984496124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IFERROR(__xludf.DUMMYFUNCTION("IMPORTRANGE(""https://docs.google.com/spreadsheets/d/1Yj_ptqi66GCucihVvJfMjLAmec39IyEx_6qawtMGysU/edit?usp=sharing"",""สบก!CG52"")"),0)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IFERROR(__xludf.DUMMYFUNCTION("IMPORTRANGE(""https://docs.google.com/spreadsheets/d/1Yj_ptqi66GCucihVvJfMjLAmec39IyEx_6qawtMGysU/edit?usp=sharing"",""สบก!CH52"")"),55200)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IFERROR(__xludf.DUMMYFUNCTION("IMPORTRANGE(""https://docs.google.com/spreadsheets/d/1Yj_ptqi66GCucihVvJfMjLAmec39IyEx_6qawtMGysU/edit?usp=sharing"",""สบก!CI52"")"),0)</f>
        <v>0</v>
      </c>
      <c r="M279" s="536"/>
      <c r="N279" s="533">
        <f ca="1">IFERROR(__xludf.DUMMYFUNCTION("IMPORTRANGE(""https://docs.google.com/spreadsheets/d/1Yj_ptqi66GCucihVvJfMjLAmec39IyEx_6qawtMGysU/edit?usp=sharing"",""สบก!CM52"")"),0)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IFERROR(__xludf.DUMMYFUNCTION("IMPORTRANGE(""https://docs.google.com/spreadsheets/d/1XL5vhW3sbDhbH9Cz0tuDiY8C3ctxq1tqvaCgkFb8cCA/edit?usp=sharing"",""สุรินทร์!J191"")"),0)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IFERROR(__xludf.DUMMYFUNCTION("IMPORTRANGE(""https://docs.google.com/spreadsheets/d/1XL5vhW3sbDhbH9Cz0tuDiY8C3ctxq1tqvaCgkFb8cCA/edit?usp=sharing"",""สุรินทร์!J192"")"),1)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IFERROR(__xludf.DUMMYFUNCTION("IMPORTRANGE(""https://docs.google.com/spreadsheets/d/1XL5vhW3sbDhbH9Cz0tuDiY8C3ctxq1tqvaCgkFb8cCA/edit?usp=sharing"",""สุรินทร์!J193"")"),1)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IFERROR(__xludf.DUMMYFUNCTION("IMPORTRANGE(""https://docs.google.com/spreadsheets/d/1XL5vhW3sbDhbH9Cz0tuDiY8C3ctxq1tqvaCgkFb8cCA/edit?usp=sharing"",""สุรินทร์!J194"")"),1)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IFERROR(__xludf.DUMMYFUNCTION("IMPORTRANGE(""https://docs.google.com/spreadsheets/d/1XL5vhW3sbDhbH9Cz0tuDiY8C3ctxq1tqvaCgkFb8cCA/edit?usp=sharing"",""สุรินทร์!I195"")"),15)</f>
        <v>15</v>
      </c>
      <c r="J285" s="190">
        <f ca="1">IFERROR(__xludf.DUMMYFUNCTION("IMPORTRANGE(""https://docs.google.com/spreadsheets/d/1XL5vhW3sbDhbH9Cz0tuDiY8C3ctxq1tqvaCgkFb8cCA/edit?usp=sharing"",""สุรินทร์!J195"")"),15)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IFERROR(__xludf.DUMMYFUNCTION("IMPORTRANGE(""https://docs.google.com/spreadsheets/d/1XL5vhW3sbDhbH9Cz0tuDiY8C3ctxq1tqvaCgkFb8cCA/edit?usp=sharing"",""สุรินทร์!J196"")"),0)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IFERROR(__xludf.DUMMYFUNCTION("IMPORTRANGE(""https://docs.google.com/spreadsheets/d/1XL5vhW3sbDhbH9Cz0tuDiY8C3ctxq1tqvaCgkFb8cCA/edit?usp=sharing"",""สุรินทร์!I199"")"),0)</f>
        <v>0</v>
      </c>
      <c r="J289" s="316">
        <f ca="1">IFERROR(__xludf.DUMMYFUNCTION("IMPORTRANGE(""https://docs.google.com/spreadsheets/d/1XL5vhW3sbDhbH9Cz0tuDiY8C3ctxq1tqvaCgkFb8cCA/edit?usp=sharing"",""สุรินทร์!J199"")"),0)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IFERROR(__xludf.DUMMYFUNCTION("IMPORTRANGE(""https://docs.google.com/spreadsheets/d/1Yj_ptqi66GCucihVvJfMjLAmec39IyEx_6qawtMGysU/edit?usp=sharing"",""สบก!CT52"")"),0)</f>
        <v>0</v>
      </c>
      <c r="N294" s="538">
        <f ca="1">IFERROR(__xludf.DUMMYFUNCTION("IMPORTRANGE(""https://docs.google.com/spreadsheets/d/1Yj_ptqi66GCucihVvJfMjLAmec39IyEx_6qawtMGysU/edit?usp=sharing"",""สบก!CU52"")"),0)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IFERROR(__xludf.DUMMYFUNCTION("IMPORTRANGE(""https://docs.google.com/spreadsheets/d/1Yj_ptqi66GCucihVvJfMjLAmec39IyEx_6qawtMGysU/edit?usp=sharing"",""สบก!CP52"")"),0)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IFERROR(__xludf.DUMMYFUNCTION("IMPORTRANGE(""https://docs.google.com/spreadsheets/d/1Yj_ptqi66GCucihVvJfMjLAmec39IyEx_6qawtMGysU/edit?usp=sharing"",""สบก!CQ52"")"),0)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IFERROR(__xludf.DUMMYFUNCTION("IMPORTRANGE(""https://docs.google.com/spreadsheets/d/1Yj_ptqi66GCucihVvJfMjLAmec39IyEx_6qawtMGysU/edit?usp=sharing"",""สบก!CR52"")"),0)</f>
        <v>0</v>
      </c>
      <c r="M298" s="536"/>
      <c r="N298" s="533">
        <f ca="1">IFERROR(__xludf.DUMMYFUNCTION("IMPORTRANGE(""https://docs.google.com/spreadsheets/d/1Yj_ptqi66GCucihVvJfMjLAmec39IyEx_6qawtMGysU/edit?usp=sharing"",""สบก!CV52"")"),0)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IFERROR(__xludf.DUMMYFUNCTION("IMPORTRANGE(""https://docs.google.com/spreadsheets/d/1XL5vhW3sbDhbH9Cz0tuDiY8C3ctxq1tqvaCgkFb8cCA/edit?usp=sharing"",""สุรินทร์!I209"")"),0)</f>
        <v>0</v>
      </c>
      <c r="J304" s="205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IFERROR(__xludf.DUMMYFUNCTION("IMPORTRANGE(""https://docs.google.com/spreadsheets/d/1XL5vhW3sbDhbH9Cz0tuDiY8C3ctxq1tqvaCgkFb8cCA/edit?usp=sharing"",""สุรินทร์!I211"")"),0)</f>
        <v>0</v>
      </c>
      <c r="J306" s="205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IFERROR(__xludf.DUMMYFUNCTION("IMPORTRANGE(""https://docs.google.com/spreadsheets/d/1XL5vhW3sbDhbH9Cz0tuDiY8C3ctxq1tqvaCgkFb8cCA/edit?usp=sharing"",""สุรินทร์!I214"")"),0)</f>
        <v>0</v>
      </c>
      <c r="J309" s="333">
        <f ca="1">IFERROR(__xludf.DUMMYFUNCTION("IMPORTRANGE(""https://docs.google.com/spreadsheets/d/1XL5vhW3sbDhbH9Cz0tuDiY8C3ctxq1tqvaCgkFb8cCA/edit?usp=sharing"",""สุรินทร์!J214"")"),0)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IFERROR(__xludf.DUMMYFUNCTION("IMPORTRANGE(""https://docs.google.com/spreadsheets/d/1Yj_ptqi66GCucihVvJfMjLAmec39IyEx_6qawtMGysU/edit?usp=sharing"",""สบก!DC52"")"),0)</f>
        <v>0</v>
      </c>
      <c r="N314" s="538">
        <f ca="1">IFERROR(__xludf.DUMMYFUNCTION("IMPORTRANGE(""https://docs.google.com/spreadsheets/d/1Yj_ptqi66GCucihVvJfMjLAmec39IyEx_6qawtMGysU/edit?usp=sharing"",""สบก!DD52"")"),0)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IFERROR(__xludf.DUMMYFUNCTION("IMPORTRANGE(""https://docs.google.com/spreadsheets/d/1Yj_ptqi66GCucihVvJfMjLAmec39IyEx_6qawtMGysU/edit?usp=sharing"",""สบก!CY52"")"),0)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IFERROR(__xludf.DUMMYFUNCTION("IMPORTRANGE(""https://docs.google.com/spreadsheets/d/1Yj_ptqi66GCucihVvJfMjLAmec39IyEx_6qawtMGysU/edit?usp=sharing"",""สบก!CZ52"")"),0)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IFERROR(__xludf.DUMMYFUNCTION("IMPORTRANGE(""https://docs.google.com/spreadsheets/d/1Yj_ptqi66GCucihVvJfMjLAmec39IyEx_6qawtMGysU/edit?usp=sharing"",""สบก!DA52"")"),0)</f>
        <v>0</v>
      </c>
      <c r="M318" s="536"/>
      <c r="N318" s="533">
        <f ca="1">IFERROR(__xludf.DUMMYFUNCTION("IMPORTRANGE(""https://docs.google.com/spreadsheets/d/1Yj_ptqi66GCucihVvJfMjLAmec39IyEx_6qawtMGysU/edit?usp=sharing"",""สบก!DE52"")"),0)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IFERROR(__xludf.DUMMYFUNCTION("IMPORTRANGE(""https://docs.google.com/spreadsheets/d/1XL5vhW3sbDhbH9Cz0tuDiY8C3ctxq1tqvaCgkFb8cCA/edit?usp=sharing"",""สุรินทร์!I224"")"),0)</f>
        <v>0</v>
      </c>
      <c r="J324" s="205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IFERROR(__xludf.DUMMYFUNCTION("IMPORTRANGE(""https://docs.google.com/spreadsheets/d/1XL5vhW3sbDhbH9Cz0tuDiY8C3ctxq1tqvaCgkFb8cCA/edit?usp=sharing"",""สุรินทร์!I228"")"),740)</f>
        <v>740</v>
      </c>
      <c r="J328" s="339">
        <f ca="1">IFERROR(__xludf.DUMMYFUNCTION("IMPORTRANGE(""https://docs.google.com/spreadsheets/d/1XL5vhW3sbDhbH9Cz0tuDiY8C3ctxq1tqvaCgkFb8cCA/edit?usp=sharing"",""สุรินทร์!J228"")"),431)</f>
        <v>431</v>
      </c>
      <c r="K328" s="317">
        <f ca="1">IF(I328&gt;0,J328*100/I328,0)</f>
        <v>58.243243243243242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1939500</v>
      </c>
      <c r="M329" s="152">
        <f t="shared" ca="1" si="98"/>
        <v>1084460</v>
      </c>
      <c r="N329" s="152">
        <f t="shared" ca="1" si="98"/>
        <v>971518</v>
      </c>
      <c r="O329" s="151">
        <f t="shared" ref="O329:O331" ca="1" si="99">IF(L329&gt;0,N329*100/L329,0)</f>
        <v>50.091157514823408</v>
      </c>
      <c r="P329" s="151">
        <f t="shared" ref="P329:P331" ca="1" si="100">IF(M329&gt;0,N329*100/M329,0)</f>
        <v>89.58541578297033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1939500</v>
      </c>
      <c r="M331" s="157">
        <f t="shared" ca="1" si="102"/>
        <v>1084460</v>
      </c>
      <c r="N331" s="157">
        <f t="shared" ca="1" si="102"/>
        <v>971518</v>
      </c>
      <c r="O331" s="156">
        <f t="shared" ca="1" si="99"/>
        <v>50.091157514823408</v>
      </c>
      <c r="P331" s="156">
        <f t="shared" ca="1" si="100"/>
        <v>89.58541578297033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1902210</v>
      </c>
      <c r="M333" s="537">
        <f ca="1">IFERROR(__xludf.DUMMYFUNCTION("IMPORTRANGE(""https://docs.google.com/spreadsheets/d/1Yj_ptqi66GCucihVvJfMjLAmec39IyEx_6qawtMGysU/edit?usp=sharing"",""สบก!DL52"")"),1047170)</f>
        <v>1047170</v>
      </c>
      <c r="N333" s="538">
        <f ca="1">IFERROR(__xludf.DUMMYFUNCTION("IMPORTRANGE(""https://docs.google.com/spreadsheets/d/1Yj_ptqi66GCucihVvJfMjLAmec39IyEx_6qawtMGysU/edit?usp=sharing"",""สบก!DM52"")"),934228)</f>
        <v>934228</v>
      </c>
      <c r="O333" s="170">
        <f ca="1">IF(L333&gt;0,N333*100/L333,0)</f>
        <v>49.112768832042732</v>
      </c>
      <c r="P333" s="170">
        <f ca="1">IF(M333&gt;0,N333*100/M333,0)</f>
        <v>89.214549691072122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IFERROR(__xludf.DUMMYFUNCTION("IMPORTRANGE(""https://docs.google.com/spreadsheets/d/1Yj_ptqi66GCucihVvJfMjLAmec39IyEx_6qawtMGysU/edit?usp=sharing"",""สบก!DH52"")"),759500)</f>
        <v>759500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IFERROR(__xludf.DUMMYFUNCTION("IMPORTRANGE(""https://docs.google.com/spreadsheets/d/1Yj_ptqi66GCucihVvJfMjLAmec39IyEx_6qawtMGysU/edit?usp=sharing"",""สบก!DI52"")"),1142710)</f>
        <v>1142710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IFERROR(__xludf.DUMMYFUNCTION("IMPORTRANGE(""https://docs.google.com/spreadsheets/d/1Yj_ptqi66GCucihVvJfMjLAmec39IyEx_6qawtMGysU/edit?usp=sharing"",""สบก!DJ52"")"),37290)</f>
        <v>37290</v>
      </c>
      <c r="M337" s="536">
        <f ca="1">L337</f>
        <v>37290</v>
      </c>
      <c r="N337" s="533">
        <f ca="1">IFERROR(__xludf.DUMMYFUNCTION("IMPORTRANGE(""https://docs.google.com/spreadsheets/d/1Yj_ptqi66GCucihVvJfMjLAmec39IyEx_6qawtMGysU/edit?usp=sharing"",""สบก!DN52"")"),37290)</f>
        <v>37290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IFERROR(__xludf.DUMMYFUNCTION("IMPORTRANGE(""https://docs.google.com/spreadsheets/d/1XL5vhW3sbDhbH9Cz0tuDiY8C3ctxq1tqvaCgkFb8cCA/edit?usp=sharing"",""สุรินทร์!I234"")"),0)</f>
        <v>0</v>
      </c>
      <c r="J339" s="189">
        <f ca="1">IFERROR(__xludf.DUMMYFUNCTION("IMPORTRANGE(""https://docs.google.com/spreadsheets/d/1XL5vhW3sbDhbH9Cz0tuDiY8C3ctxq1tqvaCgkFb8cCA/edit?usp=sharing"",""สุรินทร์!J234"")"),300)</f>
        <v>300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IFERROR(__xludf.DUMMYFUNCTION("IMPORTRANGE(""https://docs.google.com/spreadsheets/d/1XL5vhW3sbDhbH9Cz0tuDiY8C3ctxq1tqvaCgkFb8cCA/edit?usp=sharing"",""สุรินทร์!I235"")"),5800)</f>
        <v>5800</v>
      </c>
      <c r="J340" s="189">
        <f ca="1">IFERROR(__xludf.DUMMYFUNCTION("IMPORTRANGE(""https://docs.google.com/spreadsheets/d/1XL5vhW3sbDhbH9Cz0tuDiY8C3ctxq1tqvaCgkFb8cCA/edit?usp=sharing"",""สุรินทร์!J235"")"),2023.69)</f>
        <v>2023.69</v>
      </c>
      <c r="K340" s="342">
        <f t="shared" ca="1" si="103"/>
        <v>34.891206896551722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IFERROR(__xludf.DUMMYFUNCTION("IMPORTRANGE(""https://docs.google.com/spreadsheets/d/1XL5vhW3sbDhbH9Cz0tuDiY8C3ctxq1tqvaCgkFb8cCA/edit?usp=sharing"",""สุรินทร์!I236"")"),740)</f>
        <v>740</v>
      </c>
      <c r="J341" s="189">
        <f ca="1">IFERROR(__xludf.DUMMYFUNCTION("IMPORTRANGE(""https://docs.google.com/spreadsheets/d/1XL5vhW3sbDhbH9Cz0tuDiY8C3ctxq1tqvaCgkFb8cCA/edit?usp=sharing"",""สุรินทร์!J236"")"),487)</f>
        <v>487</v>
      </c>
      <c r="K341" s="342">
        <f t="shared" ca="1" si="103"/>
        <v>65.810810810810807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9">
        <f ca="1">IFERROR(__xludf.DUMMYFUNCTION("IMPORTRANGE(""https://docs.google.com/spreadsheets/d/1XL5vhW3sbDhbH9Cz0tuDiY8C3ctxq1tqvaCgkFb8cCA/edit?usp=sharing"",""สุรินทร์!J237"")"),3779.2)</f>
        <v>3779.2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IFERROR(__xludf.DUMMYFUNCTION("IMPORTRANGE(""https://docs.google.com/spreadsheets/d/1XL5vhW3sbDhbH9Cz0tuDiY8C3ctxq1tqvaCgkFb8cCA/edit?usp=sharing"",""สุรินทร์!I238"")"),740)</f>
        <v>740</v>
      </c>
      <c r="J343" s="189">
        <f ca="1">IFERROR(__xludf.DUMMYFUNCTION("IMPORTRANGE(""https://docs.google.com/spreadsheets/d/1XL5vhW3sbDhbH9Cz0tuDiY8C3ctxq1tqvaCgkFb8cCA/edit?usp=sharing"",""สุรินทร์!J238"")"),1)</f>
        <v>1</v>
      </c>
      <c r="K343" s="342">
        <f t="shared" ca="1" si="103"/>
        <v>0.13513513513513514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9">
        <f ca="1">IFERROR(__xludf.DUMMYFUNCTION("IMPORTRANGE(""https://docs.google.com/spreadsheets/d/1XL5vhW3sbDhbH9Cz0tuDiY8C3ctxq1tqvaCgkFb8cCA/edit?usp=sharing"",""สุรินทร์!J239"")"),6.74)</f>
        <v>6.74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IFERROR(__xludf.DUMMYFUNCTION("IMPORTRANGE(""https://docs.google.com/spreadsheets/d/1XL5vhW3sbDhbH9Cz0tuDiY8C3ctxq1tqvaCgkFb8cCA/edit?usp=sharing"",""สุรินทร์!I240"")"),740)</f>
        <v>740</v>
      </c>
      <c r="J345" s="189">
        <f ca="1">IFERROR(__xludf.DUMMYFUNCTION("IMPORTRANGE(""https://docs.google.com/spreadsheets/d/1XL5vhW3sbDhbH9Cz0tuDiY8C3ctxq1tqvaCgkFb8cCA/edit?usp=sharing"",""สุรินทร์!J240"")"),431)</f>
        <v>431</v>
      </c>
      <c r="K345" s="342">
        <f t="shared" ca="1" si="103"/>
        <v>58.243243243243242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9">
        <f ca="1">IFERROR(__xludf.DUMMYFUNCTION("IMPORTRANGE(""https://docs.google.com/spreadsheets/d/1XL5vhW3sbDhbH9Cz0tuDiY8C3ctxq1tqvaCgkFb8cCA/edit?usp=sharing"",""สุรินทร์!J241"")"),3320.77)</f>
        <v>3320.77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IFERROR(__xludf.DUMMYFUNCTION("IMPORTRANGE(""https://docs.google.com/spreadsheets/d/1XL5vhW3sbDhbH9Cz0tuDiY8C3ctxq1tqvaCgkFb8cCA/edit?usp=sharing"",""สุรินทร์!L242"")"),2846291)</f>
        <v>2846291</v>
      </c>
      <c r="M347" s="358"/>
      <c r="N347" s="358">
        <f ca="1">IFERROR(__xludf.DUMMYFUNCTION("IMPORTRANGE(""https://docs.google.com/spreadsheets/d/1XL5vhW3sbDhbH9Cz0tuDiY8C3ctxq1tqvaCgkFb8cCA/edit?usp=sharing"",""สุรินทร์!M242"")"),669240.87)</f>
        <v>669240.87</v>
      </c>
      <c r="O347" s="358">
        <f ca="1">+IF(L347&gt;0,N347*100/L347,0)</f>
        <v>23.512735345753473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IFERROR(__xludf.DUMMYFUNCTION("IMPORTRANGE(""https://docs.google.com/spreadsheets/d/1XL5vhW3sbDhbH9Cz0tuDiY8C3ctxq1tqvaCgkFb8cCA/edit?usp=sharing"",""สุรินทร์!M244"")"),18408)</f>
        <v>18408</v>
      </c>
      <c r="O349" s="373">
        <f ca="1">+IF(L349&gt;0,N349*100/L349,0)</f>
        <v>9.419711390850475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IFERROR(__xludf.DUMMYFUNCTION("IMPORTRANGE(""https://docs.google.com/spreadsheets/d/1XL5vhW3sbDhbH9Cz0tuDiY8C3ctxq1tqvaCgkFb8cCA/edit?usp=sharing"",""สุรินทร์!L246"")"),0)</f>
        <v>0</v>
      </c>
      <c r="M351" s="166"/>
      <c r="N351" s="166">
        <f ca="1">IFERROR(__xludf.DUMMYFUNCTION("IMPORTRANGE(""https://docs.google.com/spreadsheets/d/1XL5vhW3sbDhbH9Cz0tuDiY8C3ctxq1tqvaCgkFb8cCA/edit?usp=sharing"",""สุรินทร์!M246"")"),0)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IFERROR(__xludf.DUMMYFUNCTION("IMPORTRANGE(""https://docs.google.com/spreadsheets/d/1XL5vhW3sbDhbH9Cz0tuDiY8C3ctxq1tqvaCgkFb8cCA/edit?usp=sharing"",""สุรินทร์!L247"")"),195420)</f>
        <v>195420</v>
      </c>
      <c r="M352" s="167"/>
      <c r="N352" s="166">
        <f ca="1">IFERROR(__xludf.DUMMYFUNCTION("IMPORTRANGE(""https://docs.google.com/spreadsheets/d/1XL5vhW3sbDhbH9Cz0tuDiY8C3ctxq1tqvaCgkFb8cCA/edit?usp=sharing"",""สุรินทร์!M247"")"),18408)</f>
        <v>18408</v>
      </c>
      <c r="O352" s="167">
        <f t="shared" ca="1" si="105"/>
        <v>9.419711390850475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IFERROR(__xludf.DUMMYFUNCTION("IMPORTRANGE(""https://docs.google.com/spreadsheets/d/1XL5vhW3sbDhbH9Cz0tuDiY8C3ctxq1tqvaCgkFb8cCA/edit?usp=sharing"",""สุรินทร์!L248"")"),0)</f>
        <v>0</v>
      </c>
      <c r="M353" s="170"/>
      <c r="N353" s="170">
        <f ca="1">IFERROR(__xludf.DUMMYFUNCTION("IMPORTRANGE(""https://docs.google.com/spreadsheets/d/1XL5vhW3sbDhbH9Cz0tuDiY8C3ctxq1tqvaCgkFb8cCA/edit?usp=sharing"",""สุรินทร์!M248"")"),0)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IFERROR(__xludf.DUMMYFUNCTION("IMPORTRANGE(""https://docs.google.com/spreadsheets/d/1XL5vhW3sbDhbH9Cz0tuDiY8C3ctxq1tqvaCgkFb8cCA/edit?usp=sharing"",""สุรินทร์!L249"")"),195420)</f>
        <v>195420</v>
      </c>
      <c r="M354" s="170"/>
      <c r="N354" s="169">
        <f ca="1">IFERROR(__xludf.DUMMYFUNCTION("IMPORTRANGE(""https://docs.google.com/spreadsheets/d/1XL5vhW3sbDhbH9Cz0tuDiY8C3ctxq1tqvaCgkFb8cCA/edit?usp=sharing"",""สุรินทร์!M249"")"),18408)</f>
        <v>18408</v>
      </c>
      <c r="O354" s="170">
        <f t="shared" ca="1" si="105"/>
        <v>9.419711390850475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IFERROR(__xludf.DUMMYFUNCTION("IMPORTRANGE(""https://docs.google.com/spreadsheets/d/1XL5vhW3sbDhbH9Cz0tuDiY8C3ctxq1tqvaCgkFb8cCA/edit?usp=sharing"",""สุรินทร์!M251"")"),0)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IFERROR(__xludf.DUMMYFUNCTION("IMPORTRANGE(""https://docs.google.com/spreadsheets/d/1XL5vhW3sbDhbH9Cz0tuDiY8C3ctxq1tqvaCgkFb8cCA/edit?usp=sharing"",""สุรินทร์!J255"")"),0)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IFERROR(__xludf.DUMMYFUNCTION("IMPORTRANGE(""https://docs.google.com/spreadsheets/d/1XL5vhW3sbDhbH9Cz0tuDiY8C3ctxq1tqvaCgkFb8cCA/edit?usp=sharing"",""สุรินทร์!J256"")"),1)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IFERROR(__xludf.DUMMYFUNCTION("IMPORTRANGE(""https://docs.google.com/spreadsheets/d/1XL5vhW3sbDhbH9Cz0tuDiY8C3ctxq1tqvaCgkFb8cCA/edit?usp=sharing"",""สุรินทร์!J257"")"),1)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IFERROR(__xludf.DUMMYFUNCTION("IMPORTRANGE(""https://docs.google.com/spreadsheets/d/1XL5vhW3sbDhbH9Cz0tuDiY8C3ctxq1tqvaCgkFb8cCA/edit?usp=sharing"",""สุรินทร์!J258"")"),0)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IFERROR(__xludf.DUMMYFUNCTION("IMPORTRANGE(""https://docs.google.com/spreadsheets/d/1XL5vhW3sbDhbH9Cz0tuDiY8C3ctxq1tqvaCgkFb8cCA/edit?usp=sharing"",""สุรินทร์!J166"")"),0)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IFERROR(__xludf.DUMMYFUNCTION("IMPORTRANGE(""https://docs.google.com/spreadsheets/d/1XL5vhW3sbDhbH9Cz0tuDiY8C3ctxq1tqvaCgkFb8cCA/edit?usp=sharing"",""สุรินทร์!J166"")"),0)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IFERROR(__xludf.DUMMYFUNCTION("IMPORTRANGE(""https://docs.google.com/spreadsheets/d/1XL5vhW3sbDhbH9Cz0tuDiY8C3ctxq1tqvaCgkFb8cCA/edit?usp=sharing"",""สุรินทร์!J166"")"),0)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IFERROR(__xludf.DUMMYFUNCTION("IMPORTRANGE(""https://docs.google.com/spreadsheets/d/1XL5vhW3sbDhbH9Cz0tuDiY8C3ctxq1tqvaCgkFb8cCA/edit?usp=sharing"",""สุรินทร์!J166"")"),0)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IFERROR(__xludf.DUMMYFUNCTION("IMPORTRANGE(""https://docs.google.com/spreadsheets/d/1XL5vhW3sbDhbH9Cz0tuDiY8C3ctxq1tqvaCgkFb8cCA/edit?usp=sharing"",""สุรินทร์!I263"")"),15)</f>
        <v>15</v>
      </c>
      <c r="J368" s="189">
        <f ca="1">IFERROR(__xludf.DUMMYFUNCTION("IMPORTRANGE(""https://docs.google.com/spreadsheets/d/1XL5vhW3sbDhbH9Cz0tuDiY8C3ctxq1tqvaCgkFb8cCA/edit?usp=sharing"",""สุรินทร์!J263"")"),0)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IFERROR(__xludf.DUMMYFUNCTION("IMPORTRANGE(""https://docs.google.com/spreadsheets/d/1XL5vhW3sbDhbH9Cz0tuDiY8C3ctxq1tqvaCgkFb8cCA/edit?usp=sharing"",""สุรินทร์!I164"")"),0)</f>
        <v>0</v>
      </c>
      <c r="J369" s="205">
        <f ca="1">IFERROR(__xludf.DUMMYFUNCTION("IMPORTRANGE(""https://docs.google.com/spreadsheets/d/1XL5vhW3sbDhbH9Cz0tuDiY8C3ctxq1tqvaCgkFb8cCA/edit?usp=sharing"",""สุรินทร์!J164"")"),0)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IFERROR(__xludf.DUMMYFUNCTION("IMPORTRANGE(""https://docs.google.com/spreadsheets/d/1XL5vhW3sbDhbH9Cz0tuDiY8C3ctxq1tqvaCgkFb8cCA/edit?usp=sharing"",""สุรินทร์!I265"")"),15)</f>
        <v>15</v>
      </c>
      <c r="J370" s="205">
        <f ca="1">IFERROR(__xludf.DUMMYFUNCTION("IMPORTRANGE(""https://docs.google.com/spreadsheets/d/1XL5vhW3sbDhbH9Cz0tuDiY8C3ctxq1tqvaCgkFb8cCA/edit?usp=sharing"",""สุรินทร์!J265"")"),15)</f>
        <v>15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IFERROR(__xludf.DUMMYFUNCTION("IMPORTRANGE(""https://docs.google.com/spreadsheets/d/1XL5vhW3sbDhbH9Cz0tuDiY8C3ctxq1tqvaCgkFb8cCA/edit?usp=sharing"",""สุรินทร์!I164"")"),0)</f>
        <v>0</v>
      </c>
      <c r="J371" s="190">
        <f ca="1">IFERROR(__xludf.DUMMYFUNCTION("IMPORTRANGE(""https://docs.google.com/spreadsheets/d/1XL5vhW3sbDhbH9Cz0tuDiY8C3ctxq1tqvaCgkFb8cCA/edit?usp=sharing"",""สุรินทร์!J164"")"),0)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IFERROR(__xludf.DUMMYFUNCTION("IMPORTRANGE(""https://docs.google.com/spreadsheets/d/1XL5vhW3sbDhbH9Cz0tuDiY8C3ctxq1tqvaCgkFb8cCA/edit?usp=sharing"",""สุรินทร์!I267"")"),15)</f>
        <v>15</v>
      </c>
      <c r="J372" s="190">
        <f ca="1">IFERROR(__xludf.DUMMYFUNCTION("IMPORTRANGE(""https://docs.google.com/spreadsheets/d/1XL5vhW3sbDhbH9Cz0tuDiY8C3ctxq1tqvaCgkFb8cCA/edit?usp=sharing"",""สุรินทร์!J267"")"),0)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IFERROR(__xludf.DUMMYFUNCTION("IMPORTRANGE(""https://docs.google.com/spreadsheets/d/1XL5vhW3sbDhbH9Cz0tuDiY8C3ctxq1tqvaCgkFb8cCA/edit?usp=sharing"",""สุรินทร์!I164"")"),0)</f>
        <v>0</v>
      </c>
      <c r="J373" s="205">
        <f ca="1">IFERROR(__xludf.DUMMYFUNCTION("IMPORTRANGE(""https://docs.google.com/spreadsheets/d/1XL5vhW3sbDhbH9Cz0tuDiY8C3ctxq1tqvaCgkFb8cCA/edit?usp=sharing"",""สุรินทร์!J164"")"),0)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IFERROR(__xludf.DUMMYFUNCTION("IMPORTRANGE(""https://docs.google.com/spreadsheets/d/1XL5vhW3sbDhbH9Cz0tuDiY8C3ctxq1tqvaCgkFb8cCA/edit?usp=sharing"",""สุรินทร์!I164"")"),0)</f>
        <v>0</v>
      </c>
      <c r="J374" s="189">
        <f ca="1">IFERROR(__xludf.DUMMYFUNCTION("IMPORTRANGE(""https://docs.google.com/spreadsheets/d/1XL5vhW3sbDhbH9Cz0tuDiY8C3ctxq1tqvaCgkFb8cCA/edit?usp=sharing"",""สุรินทร์!J164"")"),0)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IFERROR(__xludf.DUMMYFUNCTION("IMPORTRANGE(""https://docs.google.com/spreadsheets/d/1XL5vhW3sbDhbH9Cz0tuDiY8C3ctxq1tqvaCgkFb8cCA/edit?usp=sharing"",""สุรินทร์!I270"")"),150)</f>
        <v>150</v>
      </c>
      <c r="J375" s="189">
        <f ca="1">IFERROR(__xludf.DUMMYFUNCTION("IMPORTRANGE(""https://docs.google.com/spreadsheets/d/1XL5vhW3sbDhbH9Cz0tuDiY8C3ctxq1tqvaCgkFb8cCA/edit?usp=sharing"",""สุรินทร์!J270"")"),0)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IFERROR(__xludf.DUMMYFUNCTION("IMPORTRANGE(""https://docs.google.com/spreadsheets/d/1XL5vhW3sbDhbH9Cz0tuDiY8C3ctxq1tqvaCgkFb8cCA/edit?usp=sharing"",""สุรินทร์!I271"")"),150)</f>
        <v>150</v>
      </c>
      <c r="J376" s="190">
        <f ca="1">IFERROR(__xludf.DUMMYFUNCTION("IMPORTRANGE(""https://docs.google.com/spreadsheets/d/1XL5vhW3sbDhbH9Cz0tuDiY8C3ctxq1tqvaCgkFb8cCA/edit?usp=sharing"",""สุรินทร์!J271"")"),0)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IFERROR(__xludf.DUMMYFUNCTION("IMPORTRANGE(""https://docs.google.com/spreadsheets/d/1XL5vhW3sbDhbH9Cz0tuDiY8C3ctxq1tqvaCgkFb8cCA/edit?usp=sharing"",""สุรินทร์!I272"")"),0)</f>
        <v>0</v>
      </c>
      <c r="J377" s="205">
        <f ca="1">IFERROR(__xludf.DUMMYFUNCTION("IMPORTRANGE(""https://docs.google.com/spreadsheets/d/1XL5vhW3sbDhbH9Cz0tuDiY8C3ctxq1tqvaCgkFb8cCA/edit?usp=sharing"",""สุรินทร์!J272"")"),0)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IFERROR(__xludf.DUMMYFUNCTION("IMPORTRANGE(""https://docs.google.com/spreadsheets/d/1XL5vhW3sbDhbH9Cz0tuDiY8C3ctxq1tqvaCgkFb8cCA/edit?usp=sharing"",""สุรินทร์!J273"")"),0)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IFERROR(__xludf.DUMMYFUNCTION("IMPORTRANGE(""https://docs.google.com/spreadsheets/d/1XL5vhW3sbDhbH9Cz0tuDiY8C3ctxq1tqvaCgkFb8cCA/edit?usp=sharing"",""สุรินทร์!M275"")"),175715)</f>
        <v>175715</v>
      </c>
      <c r="O380" s="373">
        <f ca="1">+IF(L380&gt;0,N380*100/L380,0)</f>
        <v>17.08425699062731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IFERROR(__xludf.DUMMYFUNCTION("IMPORTRANGE(""https://docs.google.com/spreadsheets/d/1XL5vhW3sbDhbH9Cz0tuDiY8C3ctxq1tqvaCgkFb8cCA/edit?usp=sharing"",""สุรินทร์!L277"")"),0)</f>
        <v>0</v>
      </c>
      <c r="M382" s="166"/>
      <c r="N382" s="166">
        <f ca="1">IFERROR(__xludf.DUMMYFUNCTION("IMPORTRANGE(""https://docs.google.com/spreadsheets/d/1XL5vhW3sbDhbH9Cz0tuDiY8C3ctxq1tqvaCgkFb8cCA/edit?usp=sharing"",""สุรินทร์!M277"")"),0)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IFERROR(__xludf.DUMMYFUNCTION("IMPORTRANGE(""https://docs.google.com/spreadsheets/d/1XL5vhW3sbDhbH9Cz0tuDiY8C3ctxq1tqvaCgkFb8cCA/edit?usp=sharing"",""สุรินทร์!L278"")"),1028520)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IFERROR(__xludf.DUMMYFUNCTION("IMPORTRANGE(""https://docs.google.com/spreadsheets/d/1XL5vhW3sbDhbH9Cz0tuDiY8C3ctxq1tqvaCgkFb8cCA/edit?usp=sharing"",""สุรินทร์!M278"")"),175715)</f>
        <v>175715</v>
      </c>
      <c r="O383" s="167">
        <f t="shared" ca="1" si="109"/>
        <v>17.08425699062731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IFERROR(__xludf.DUMMYFUNCTION("IMPORTRANGE(""https://docs.google.com/spreadsheets/d/1XL5vhW3sbDhbH9Cz0tuDiY8C3ctxq1tqvaCgkFb8cCA/edit?usp=sharing"",""สุรินทร์!L279"")"),0)</f>
        <v>0</v>
      </c>
      <c r="M384" s="170"/>
      <c r="N384" s="170">
        <f ca="1">IFERROR(__xludf.DUMMYFUNCTION("IMPORTRANGE(""https://docs.google.com/spreadsheets/d/1XL5vhW3sbDhbH9Cz0tuDiY8C3ctxq1tqvaCgkFb8cCA/edit?usp=sharing"",""สุรินทร์!M279"")"),0)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IFERROR(__xludf.DUMMYFUNCTION("IMPORTRANGE(""https://docs.google.com/spreadsheets/d/1XL5vhW3sbDhbH9Cz0tuDiY8C3ctxq1tqvaCgkFb8cCA/edit?usp=sharing"",""สุรินทร์!L280"")"),1028520)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IFERROR(__xludf.DUMMYFUNCTION("IMPORTRANGE(""https://docs.google.com/spreadsheets/d/1XL5vhW3sbDhbH9Cz0tuDiY8C3ctxq1tqvaCgkFb8cCA/edit?usp=sharing"",""สุรินทร์!M280"")"),175715)</f>
        <v>175715</v>
      </c>
      <c r="O385" s="170">
        <f t="shared" ca="1" si="109"/>
        <v>17.08425699062731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IFERROR(__xludf.DUMMYFUNCTION("IMPORTRANGE(""https://docs.google.com/spreadsheets/d/1XL5vhW3sbDhbH9Cz0tuDiY8C3ctxq1tqvaCgkFb8cCA/edit?usp=sharing"",""สุรินทร์!M281"")"),120495)</f>
        <v>120495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IFERROR(__xludf.DUMMYFUNCTION("IMPORTRANGE(""https://docs.google.com/spreadsheets/d/1XL5vhW3sbDhbH9Cz0tuDiY8C3ctxq1tqvaCgkFb8cCA/edit?usp=sharing"",""สุรินทร์!M282"")"),0)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IFERROR(__xludf.DUMMYFUNCTION("IMPORTRANGE(""https://docs.google.com/spreadsheets/d/1XL5vhW3sbDhbH9Cz0tuDiY8C3ctxq1tqvaCgkFb8cCA/edit?usp=sharing"",""สุรินทร์!M283"")"),30870)</f>
        <v>30870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IFERROR(__xludf.DUMMYFUNCTION("IMPORTRANGE(""https://docs.google.com/spreadsheets/d/1XL5vhW3sbDhbH9Cz0tuDiY8C3ctxq1tqvaCgkFb8cCA/edit?usp=sharing"",""สุรินทร์!M284"")"),24350)</f>
        <v>24350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IFERROR(__xludf.DUMMYFUNCTION("IMPORTRANGE(""https://docs.google.com/spreadsheets/d/1XL5vhW3sbDhbH9Cz0tuDiY8C3ctxq1tqvaCgkFb8cCA/edit?usp=sharing"",""สุรินทร์!J286"")"),0)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IFERROR(__xludf.DUMMYFUNCTION("IMPORTRANGE(""https://docs.google.com/spreadsheets/d/1XL5vhW3sbDhbH9Cz0tuDiY8C3ctxq1tqvaCgkFb8cCA/edit?usp=sharing"",""สุรินทร์!J287"")"),1)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IFERROR(__xludf.DUMMYFUNCTION("IMPORTRANGE(""https://docs.google.com/spreadsheets/d/1XL5vhW3sbDhbH9Cz0tuDiY8C3ctxq1tqvaCgkFb8cCA/edit?usp=sharing"",""สุรินทร์!J288"")"),1)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IFERROR(__xludf.DUMMYFUNCTION("IMPORTRANGE(""https://docs.google.com/spreadsheets/d/1XL5vhW3sbDhbH9Cz0tuDiY8C3ctxq1tqvaCgkFb8cCA/edit?usp=sharing"",""สุรินทร์!J289"")"),0)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IFERROR(__xludf.DUMMYFUNCTION("IMPORTRANGE(""https://docs.google.com/spreadsheets/d/1XL5vhW3sbDhbH9Cz0tuDiY8C3ctxq1tqvaCgkFb8cCA/edit?usp=sharing"",""สุรินทร์!I291"")"),100)</f>
        <v>100</v>
      </c>
      <c r="J396" s="199">
        <f ca="1">IFERROR(__xludf.DUMMYFUNCTION("IMPORTRANGE(""https://docs.google.com/spreadsheets/d/1XL5vhW3sbDhbH9Cz0tuDiY8C3ctxq1tqvaCgkFb8cCA/edit?usp=sharing"",""สุรินทร์!J291"")"),100)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IFERROR(__xludf.DUMMYFUNCTION("IMPORTRANGE(""https://docs.google.com/spreadsheets/d/1XL5vhW3sbDhbH9Cz0tuDiY8C3ctxq1tqvaCgkFb8cCA/edit?usp=sharing"",""สุรินทร์!I292"")"),1000)</f>
        <v>1000</v>
      </c>
      <c r="J397" s="199">
        <f ca="1">IFERROR(__xludf.DUMMYFUNCTION("IMPORTRANGE(""https://docs.google.com/spreadsheets/d/1XL5vhW3sbDhbH9Cz0tuDiY8C3ctxq1tqvaCgkFb8cCA/edit?usp=sharing"",""สุรินทร์!J292"")"),0)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IFERROR(__xludf.DUMMYFUNCTION("IMPORTRANGE(""https://docs.google.com/spreadsheets/d/1XL5vhW3sbDhbH9Cz0tuDiY8C3ctxq1tqvaCgkFb8cCA/edit?usp=sharing"",""สุรินทร์!I293"")"),100)</f>
        <v>100</v>
      </c>
      <c r="J398" s="199">
        <f ca="1">IFERROR(__xludf.DUMMYFUNCTION("IMPORTRANGE(""https://docs.google.com/spreadsheets/d/1XL5vhW3sbDhbH9Cz0tuDiY8C3ctxq1tqvaCgkFb8cCA/edit?usp=sharing"",""สุรินทร์!J293"")"),0)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IFERROR(__xludf.DUMMYFUNCTION("IMPORTRANGE(""https://docs.google.com/spreadsheets/d/1XL5vhW3sbDhbH9Cz0tuDiY8C3ctxq1tqvaCgkFb8cCA/edit?usp=sharing"",""สุรินทร์!J294"")"),0)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IFERROR(__xludf.DUMMYFUNCTION("IMPORTRANGE(""https://docs.google.com/spreadsheets/d/1XL5vhW3sbDhbH9Cz0tuDiY8C3ctxq1tqvaCgkFb8cCA/edit?usp=sharing"",""สุรินทร์!M296"")"),25179)</f>
        <v>25179</v>
      </c>
      <c r="O401" s="373">
        <f ca="1">+IF(L401&gt;0,N401*100/L401,0)</f>
        <v>15.741794310722101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IFERROR(__xludf.DUMMYFUNCTION("IMPORTRANGE(""https://docs.google.com/spreadsheets/d/1XL5vhW3sbDhbH9Cz0tuDiY8C3ctxq1tqvaCgkFb8cCA/edit?usp=sharing"",""สุรินทร์!J297"")"),10)</f>
        <v>10</v>
      </c>
      <c r="K402" s="372">
        <f t="shared" ca="1" si="111"/>
        <v>22.222222222222221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IFERROR(__xludf.DUMMYFUNCTION("IMPORTRANGE(""https://docs.google.com/spreadsheets/d/1XL5vhW3sbDhbH9Cz0tuDiY8C3ctxq1tqvaCgkFb8cCA/edit?usp=sharing"",""สุรินทร์!L298"")"),0)</f>
        <v>0</v>
      </c>
      <c r="M403" s="166"/>
      <c r="N403" s="170">
        <f ca="1">IFERROR(__xludf.DUMMYFUNCTION("IMPORTRANGE(""https://docs.google.com/spreadsheets/d/1XL5vhW3sbDhbH9Cz0tuDiY8C3ctxq1tqvaCgkFb8cCA/edit?usp=sharing"",""สุรินทร์!M298"")"),0)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IFERROR(__xludf.DUMMYFUNCTION("IMPORTRANGE(""https://docs.google.com/spreadsheets/d/1XL5vhW3sbDhbH9Cz0tuDiY8C3ctxq1tqvaCgkFb8cCA/edit?usp=sharing"",""สุรินทร์!L299"")"),159950)</f>
        <v>159950</v>
      </c>
      <c r="M404" s="167"/>
      <c r="N404" s="170">
        <f ca="1">IFERROR(__xludf.DUMMYFUNCTION("IMPORTRANGE(""https://docs.google.com/spreadsheets/d/1XL5vhW3sbDhbH9Cz0tuDiY8C3ctxq1tqvaCgkFb8cCA/edit?usp=sharing"",""สุรินทร์!M299"")"),25179)</f>
        <v>25179</v>
      </c>
      <c r="O404" s="170">
        <f t="shared" ca="1" si="112"/>
        <v>15.741794310722101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IFERROR(__xludf.DUMMYFUNCTION("IMPORTRANGE(""https://docs.google.com/spreadsheets/d/1XL5vhW3sbDhbH9Cz0tuDiY8C3ctxq1tqvaCgkFb8cCA/edit?usp=sharing"",""สุรินทร์!L300"")"),0)</f>
        <v>0</v>
      </c>
      <c r="M405" s="170"/>
      <c r="N405" s="170">
        <f ca="1">IFERROR(__xludf.DUMMYFUNCTION("IMPORTRANGE(""https://docs.google.com/spreadsheets/d/1XL5vhW3sbDhbH9Cz0tuDiY8C3ctxq1tqvaCgkFb8cCA/edit?usp=sharing"",""สุรินทร์!M300"")"),0)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IFERROR(__xludf.DUMMYFUNCTION("IMPORTRANGE(""https://docs.google.com/spreadsheets/d/1XL5vhW3sbDhbH9Cz0tuDiY8C3ctxq1tqvaCgkFb8cCA/edit?usp=sharing"",""สุรินทร์!L301"")"),159950)</f>
        <v>159950</v>
      </c>
      <c r="M406" s="170"/>
      <c r="N406" s="170">
        <f ca="1">IFERROR(__xludf.DUMMYFUNCTION("IMPORTRANGE(""https://docs.google.com/spreadsheets/d/1XL5vhW3sbDhbH9Cz0tuDiY8C3ctxq1tqvaCgkFb8cCA/edit?usp=sharing"",""สุรินทร์!M301"")"),25179)</f>
        <v>25179</v>
      </c>
      <c r="O406" s="170">
        <f t="shared" ca="1" si="112"/>
        <v>15.741794310722101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IFERROR(__xludf.DUMMYFUNCTION("IMPORTRANGE(""https://docs.google.com/spreadsheets/d/1XL5vhW3sbDhbH9Cz0tuDiY8C3ctxq1tqvaCgkFb8cCA/edit?usp=sharing"",""สุรินทร์!M302"")"),21739)</f>
        <v>21739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IFERROR(__xludf.DUMMYFUNCTION("IMPORTRANGE(""https://docs.google.com/spreadsheets/d/1XL5vhW3sbDhbH9Cz0tuDiY8C3ctxq1tqvaCgkFb8cCA/edit?usp=sharing"",""สุรินทร์!M303"")"),0)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IFERROR(__xludf.DUMMYFUNCTION("IMPORTRANGE(""https://docs.google.com/spreadsheets/d/1XL5vhW3sbDhbH9Cz0tuDiY8C3ctxq1tqvaCgkFb8cCA/edit?usp=sharing"",""สุรินทร์!M305"")"),3440)</f>
        <v>3440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IFERROR(__xludf.DUMMYFUNCTION("IMPORTRANGE(""https://docs.google.com/spreadsheets/d/1XL5vhW3sbDhbH9Cz0tuDiY8C3ctxq1tqvaCgkFb8cCA/edit?usp=sharing"",""สุรินทร์!J307"")"),0)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IFERROR(__xludf.DUMMYFUNCTION("IMPORTRANGE(""https://docs.google.com/spreadsheets/d/1XL5vhW3sbDhbH9Cz0tuDiY8C3ctxq1tqvaCgkFb8cCA/edit?usp=sharing"",""สุรินทร์!J308"")"),1)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IFERROR(__xludf.DUMMYFUNCTION("IMPORTRANGE(""https://docs.google.com/spreadsheets/d/1XL5vhW3sbDhbH9Cz0tuDiY8C3ctxq1tqvaCgkFb8cCA/edit?usp=sharing"",""สุรินทร์!J309"")"),1)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IFERROR(__xludf.DUMMYFUNCTION("IMPORTRANGE(""https://docs.google.com/spreadsheets/d/1XL5vhW3sbDhbH9Cz0tuDiY8C3ctxq1tqvaCgkFb8cCA/edit?usp=sharing"",""สุรินทร์!J310"")"),0)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IFERROR(__xludf.DUMMYFUNCTION("IMPORTRANGE(""https://docs.google.com/spreadsheets/d/1XL5vhW3sbDhbH9Cz0tuDiY8C3ctxq1tqvaCgkFb8cCA/edit?usp=sharing"",""สุรินทร์!I311"")"),45)</f>
        <v>45</v>
      </c>
      <c r="J416" s="202">
        <f ca="1">IFERROR(__xludf.DUMMYFUNCTION("IMPORTRANGE(""https://docs.google.com/spreadsheets/d/1XL5vhW3sbDhbH9Cz0tuDiY8C3ctxq1tqvaCgkFb8cCA/edit?usp=sharing"",""สุรินทร์!J311"")"),10)</f>
        <v>10</v>
      </c>
      <c r="K416" s="203">
        <f t="shared" ref="K416:K432" ca="1" si="113">IF(I416&gt;0,J416*100/I416,0)</f>
        <v>22.222222222222221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IFERROR(__xludf.DUMMYFUNCTION("IMPORTRANGE(""https://docs.google.com/spreadsheets/d/1XL5vhW3sbDhbH9Cz0tuDiY8C3ctxq1tqvaCgkFb8cCA/edit?usp=sharing"",""สุรินทร์!J328"")"),0)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IFERROR(__xludf.DUMMYFUNCTION("IMPORTRANGE(""https://docs.google.com/spreadsheets/d/1XL5vhW3sbDhbH9Cz0tuDiY8C3ctxq1tqvaCgkFb8cCA/edit?usp=sharing"",""สุรินทร์!M330"")"),157247)</f>
        <v>157247</v>
      </c>
      <c r="O435" s="412">
        <f t="shared" ref="O435:O439" ca="1" si="114">+IF(L435&gt;0,N435*100/L435,0)</f>
        <v>70.831981981981983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IFERROR(__xludf.DUMMYFUNCTION("IMPORTRANGE(""https://docs.google.com/spreadsheets/d/1XL5vhW3sbDhbH9Cz0tuDiY8C3ctxq1tqvaCgkFb8cCA/edit?usp=sharing"",""สุรินทร์!L331"")"),0)</f>
        <v>0</v>
      </c>
      <c r="M436" s="166"/>
      <c r="N436" s="170">
        <f ca="1">IFERROR(__xludf.DUMMYFUNCTION("IMPORTRANGE(""https://docs.google.com/spreadsheets/d/1XL5vhW3sbDhbH9Cz0tuDiY8C3ctxq1tqvaCgkFb8cCA/edit?usp=sharing"",""สุรินทร์!M331"")"),0)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IFERROR(__xludf.DUMMYFUNCTION("IMPORTRANGE(""https://docs.google.com/spreadsheets/d/1XL5vhW3sbDhbH9Cz0tuDiY8C3ctxq1tqvaCgkFb8cCA/edit?usp=sharing"",""สุรินทร์!L332"")"),222000)</f>
        <v>222000</v>
      </c>
      <c r="M437" s="167"/>
      <c r="N437" s="170">
        <f ca="1">IFERROR(__xludf.DUMMYFUNCTION("IMPORTRANGE(""https://docs.google.com/spreadsheets/d/1XL5vhW3sbDhbH9Cz0tuDiY8C3ctxq1tqvaCgkFb8cCA/edit?usp=sharing"",""สุรินทร์!M332"")"),157247)</f>
        <v>157247</v>
      </c>
      <c r="O437" s="170">
        <f t="shared" ca="1" si="114"/>
        <v>70.831981981981983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IFERROR(__xludf.DUMMYFUNCTION("IMPORTRANGE(""https://docs.google.com/spreadsheets/d/1XL5vhW3sbDhbH9Cz0tuDiY8C3ctxq1tqvaCgkFb8cCA/edit?usp=sharing"",""สุรินทร์!L333"")"),0)</f>
        <v>0</v>
      </c>
      <c r="M438" s="170"/>
      <c r="N438" s="170">
        <f ca="1">IFERROR(__xludf.DUMMYFUNCTION("IMPORTRANGE(""https://docs.google.com/spreadsheets/d/1XL5vhW3sbDhbH9Cz0tuDiY8C3ctxq1tqvaCgkFb8cCA/edit?usp=sharing"",""สุรินทร์!M333"")"),0)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IFERROR(__xludf.DUMMYFUNCTION("IMPORTRANGE(""https://docs.google.com/spreadsheets/d/1XL5vhW3sbDhbH9Cz0tuDiY8C3ctxq1tqvaCgkFb8cCA/edit?usp=sharing"",""สุรินทร์!L334"")"),222000)</f>
        <v>222000</v>
      </c>
      <c r="M439" s="170"/>
      <c r="N439" s="170">
        <f ca="1">IFERROR(__xludf.DUMMYFUNCTION("IMPORTRANGE(""https://docs.google.com/spreadsheets/d/1XL5vhW3sbDhbH9Cz0tuDiY8C3ctxq1tqvaCgkFb8cCA/edit?usp=sharing"",""สุรินทร์!M334"")"),157247)</f>
        <v>157247</v>
      </c>
      <c r="O439" s="170">
        <f t="shared" ca="1" si="114"/>
        <v>70.831981981981983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IFERROR(__xludf.DUMMYFUNCTION("IMPORTRANGE(""https://docs.google.com/spreadsheets/d/1XL5vhW3sbDhbH9Cz0tuDiY8C3ctxq1tqvaCgkFb8cCA/edit?usp=sharing"",""สุรินทร์!M335"")"),136848)</f>
        <v>136848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IFERROR(__xludf.DUMMYFUNCTION("IMPORTRANGE(""https://docs.google.com/spreadsheets/d/1XL5vhW3sbDhbH9Cz0tuDiY8C3ctxq1tqvaCgkFb8cCA/edit?usp=sharing"",""สุรินทร์!M338"")"),20399)</f>
        <v>20399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IFERROR(__xludf.DUMMYFUNCTION("IMPORTRANGE(""https://docs.google.com/spreadsheets/d/1XL5vhW3sbDhbH9Cz0tuDiY8C3ctxq1tqvaCgkFb8cCA/edit?usp=sharing"",""สุรินทร์!J342"")"),1)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IFERROR(__xludf.DUMMYFUNCTION("IMPORTRANGE(""https://docs.google.com/spreadsheets/d/1XL5vhW3sbDhbH9Cz0tuDiY8C3ctxq1tqvaCgkFb8cCA/edit?usp=sharing"",""สุรินทร์!J343"")"),0)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2">
        <f ca="1">IFERROR(__xludf.DUMMYFUNCTION("IMPORTRANGE(""https://docs.google.com/spreadsheets/d/1XL5vhW3sbDhbH9Cz0tuDiY8C3ctxq1tqvaCgkFb8cCA/edit?usp=sharing"",""สุรินทร์!J344"")"),80)</f>
        <v>80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IFERROR(__xludf.DUMMYFUNCTION("IMPORTRANGE(""https://docs.google.com/spreadsheets/d/1XL5vhW3sbDhbH9Cz0tuDiY8C3ctxq1tqvaCgkFb8cCA/edit?usp=sharing"",""สุรินทร์!I345"")"),30)</f>
        <v>30</v>
      </c>
      <c r="J450" s="190">
        <f ca="1">IFERROR(__xludf.DUMMYFUNCTION("IMPORTRANGE(""https://docs.google.com/spreadsheets/d/1XL5vhW3sbDhbH9Cz0tuDiY8C3ctxq1tqvaCgkFb8cCA/edit?usp=sharing"",""สุรินทร์!J345"")"),30)</f>
        <v>30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IFERROR(__xludf.DUMMYFUNCTION("IMPORTRANGE(""https://docs.google.com/spreadsheets/d/1XL5vhW3sbDhbH9Cz0tuDiY8C3ctxq1tqvaCgkFb8cCA/edit?usp=sharing"",""สุรินทร์!I346"")"),50)</f>
        <v>50</v>
      </c>
      <c r="J451" s="189">
        <f ca="1">IFERROR(__xludf.DUMMYFUNCTION("IMPORTRANGE(""https://docs.google.com/spreadsheets/d/1XL5vhW3sbDhbH9Cz0tuDiY8C3ctxq1tqvaCgkFb8cCA/edit?usp=sharing"",""สุรินทร์!J346"")"),50)</f>
        <v>50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IFERROR(__xludf.DUMMYFUNCTION("IMPORTRANGE(""https://docs.google.com/spreadsheets/d/1XL5vhW3sbDhbH9Cz0tuDiY8C3ctxq1tqvaCgkFb8cCA/edit?usp=sharing"",""สุรินทร์!I347"")"),0)</f>
        <v>0</v>
      </c>
      <c r="J452" s="189">
        <f ca="1">IFERROR(__xludf.DUMMYFUNCTION("IMPORTRANGE(""https://docs.google.com/spreadsheets/d/1XL5vhW3sbDhbH9Cz0tuDiY8C3ctxq1tqvaCgkFb8cCA/edit?usp=sharing"",""สุรินทร์!J347"")"),0)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IFERROR(__xludf.DUMMYFUNCTION("IMPORTRANGE(""https://docs.google.com/spreadsheets/d/1XL5vhW3sbDhbH9Cz0tuDiY8C3ctxq1tqvaCgkFb8cCA/edit?usp=sharing"",""สุรินทร์!J348"")"),0)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IFERROR(__xludf.DUMMYFUNCTION("IMPORTRANGE(""https://docs.google.com/spreadsheets/d/1XL5vhW3sbDhbH9Cz0tuDiY8C3ctxq1tqvaCgkFb8cCA/edit?usp=sharing"",""สุรินทร์!L350"")"),699661)</f>
        <v>699661</v>
      </c>
      <c r="M455" s="373"/>
      <c r="N455" s="373">
        <f ca="1">IFERROR(__xludf.DUMMYFUNCTION("IMPORTRANGE(""https://docs.google.com/spreadsheets/d/1XL5vhW3sbDhbH9Cz0tuDiY8C3ctxq1tqvaCgkFb8cCA/edit?usp=sharing"",""สุรินทร์!M350"")"),103686.07)</f>
        <v>103686.07</v>
      </c>
      <c r="O455" s="373">
        <f t="shared" ref="O455:O459" ca="1" si="116">+IF(L455&gt;0,N455*100/L455,0)</f>
        <v>14.819472573146138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IFERROR(__xludf.DUMMYFUNCTION("IMPORTRANGE(""https://docs.google.com/spreadsheets/d/1XL5vhW3sbDhbH9Cz0tuDiY8C3ctxq1tqvaCgkFb8cCA/edit?usp=sharing"",""สุรินทร์!L351"")"),0)</f>
        <v>0</v>
      </c>
      <c r="M456" s="166"/>
      <c r="N456" s="170">
        <f ca="1">IFERROR(__xludf.DUMMYFUNCTION("IMPORTRANGE(""https://docs.google.com/spreadsheets/d/1XL5vhW3sbDhbH9Cz0tuDiY8C3ctxq1tqvaCgkFb8cCA/edit?usp=sharing"",""สุรินทร์!M351"")"),0)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IFERROR(__xludf.DUMMYFUNCTION("IMPORTRANGE(""https://docs.google.com/spreadsheets/d/1XL5vhW3sbDhbH9Cz0tuDiY8C3ctxq1tqvaCgkFb8cCA/edit?usp=sharing"",""สุรินทร์!L352"")"),699661)</f>
        <v>699661</v>
      </c>
      <c r="M457" s="167"/>
      <c r="N457" s="170">
        <f ca="1">IFERROR(__xludf.DUMMYFUNCTION("IMPORTRANGE(""https://docs.google.com/spreadsheets/d/1XL5vhW3sbDhbH9Cz0tuDiY8C3ctxq1tqvaCgkFb8cCA/edit?usp=sharing"",""สุรินทร์!M352"")"),103686.07)</f>
        <v>103686.07</v>
      </c>
      <c r="O457" s="170">
        <f t="shared" ca="1" si="116"/>
        <v>14.819472573146138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IFERROR(__xludf.DUMMYFUNCTION("IMPORTRANGE(""https://docs.google.com/spreadsheets/d/1XL5vhW3sbDhbH9Cz0tuDiY8C3ctxq1tqvaCgkFb8cCA/edit?usp=sharing"",""สุรินทร์!L353"")"),0)</f>
        <v>0</v>
      </c>
      <c r="M458" s="170"/>
      <c r="N458" s="170">
        <f ca="1">IFERROR(__xludf.DUMMYFUNCTION("IMPORTRANGE(""https://docs.google.com/spreadsheets/d/1XL5vhW3sbDhbH9Cz0tuDiY8C3ctxq1tqvaCgkFb8cCA/edit?usp=sharing"",""สุรินทร์!M353"")"),0)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IFERROR(__xludf.DUMMYFUNCTION("IMPORTRANGE(""https://docs.google.com/spreadsheets/d/1XL5vhW3sbDhbH9Cz0tuDiY8C3ctxq1tqvaCgkFb8cCA/edit?usp=sharing"",""สุรินทร์!L354"")"),699661)</f>
        <v>699661</v>
      </c>
      <c r="M459" s="170"/>
      <c r="N459" s="170">
        <f ca="1">IFERROR(__xludf.DUMMYFUNCTION("IMPORTRANGE(""https://docs.google.com/spreadsheets/d/1XL5vhW3sbDhbH9Cz0tuDiY8C3ctxq1tqvaCgkFb8cCA/edit?usp=sharing"",""สุรินทร์!M354"")"),103686.07)</f>
        <v>103686.07</v>
      </c>
      <c r="O459" s="170">
        <f t="shared" ca="1" si="116"/>
        <v>14.819472573146138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IFERROR(__xludf.DUMMYFUNCTION("IMPORTRANGE(""https://docs.google.com/spreadsheets/d/1XL5vhW3sbDhbH9Cz0tuDiY8C3ctxq1tqvaCgkFb8cCA/edit?usp=sharing"",""สุรินทร์!M355"")"),0)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IFERROR(__xludf.DUMMYFUNCTION("IMPORTRANGE(""https://docs.google.com/spreadsheets/d/1XL5vhW3sbDhbH9Cz0tuDiY8C3ctxq1tqvaCgkFb8cCA/edit?usp=sharing"",""สุรินทร์!M356"")"),0)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IFERROR(__xludf.DUMMYFUNCTION("IMPORTRANGE(""https://docs.google.com/spreadsheets/d/1XL5vhW3sbDhbH9Cz0tuDiY8C3ctxq1tqvaCgkFb8cCA/edit?usp=sharing"",""สุรินทร์!M357"")"),51451)</f>
        <v>51451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IFERROR(__xludf.DUMMYFUNCTION("IMPORTRANGE(""https://docs.google.com/spreadsheets/d/1XL5vhW3sbDhbH9Cz0tuDiY8C3ctxq1tqvaCgkFb8cCA/edit?usp=sharing"",""สุรินทร์!M358"")"),52235.07)</f>
        <v>52235.07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3">
        <f t="shared" ca="1" si="117"/>
        <v>100.00220560665211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IFERROR(__xludf.DUMMYFUNCTION("IMPORTRANGE(""https://docs.google.com/spreadsheets/d/1XL5vhW3sbDhbH9Cz0tuDiY8C3ctxq1tqvaCgkFb8cCA/edit?usp=sharing"",""สุรินทร์!I362"")"),0)</f>
        <v>0</v>
      </c>
      <c r="J467" s="190">
        <f ca="1">IFERROR(__xludf.DUMMYFUNCTION("IMPORTRANGE(""https://docs.google.com/spreadsheets/d/1XL5vhW3sbDhbH9Cz0tuDiY8C3ctxq1tqvaCgkFb8cCA/edit?usp=sharing"",""สุรินทร์!J362"")"),33268)</f>
        <v>33268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IFERROR(__xludf.DUMMYFUNCTION("IMPORTRANGE(""https://docs.google.com/spreadsheets/d/1XL5vhW3sbDhbH9Cz0tuDiY8C3ctxq1tqvaCgkFb8cCA/edit?usp=sharing"",""สุรินทร์!I363"")"),0)</f>
        <v>0</v>
      </c>
      <c r="J468" s="190">
        <f ca="1">IFERROR(__xludf.DUMMYFUNCTION("IMPORTRANGE(""https://docs.google.com/spreadsheets/d/1XL5vhW3sbDhbH9Cz0tuDiY8C3ctxq1tqvaCgkFb8cCA/edit?usp=sharing"",""สุรินทร์!J363"")"),5166)</f>
        <v>5166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IFERROR(__xludf.DUMMYFUNCTION("IMPORTRANGE(""https://docs.google.com/spreadsheets/d/1XL5vhW3sbDhbH9Cz0tuDiY8C3ctxq1tqvaCgkFb8cCA/edit?usp=sharing"",""สุรินทร์!I364"")"),0)</f>
        <v>0</v>
      </c>
      <c r="J469" s="190">
        <f ca="1">IFERROR(__xludf.DUMMYFUNCTION("IMPORTRANGE(""https://docs.google.com/spreadsheets/d/1XL5vhW3sbDhbH9Cz0tuDiY8C3ctxq1tqvaCgkFb8cCA/edit?usp=sharing"",""สุรินทร์!J364"")"),10051)</f>
        <v>10051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IFERROR(__xludf.DUMMYFUNCTION("IMPORTRANGE(""https://docs.google.com/spreadsheets/d/1XL5vhW3sbDhbH9Cz0tuDiY8C3ctxq1tqvaCgkFb8cCA/edit?usp=sharing"",""สุรินทร์!I365"")"),0)</f>
        <v>0</v>
      </c>
      <c r="J470" s="190">
        <f ca="1">IFERROR(__xludf.DUMMYFUNCTION("IMPORTRANGE(""https://docs.google.com/spreadsheets/d/1XL5vhW3sbDhbH9Cz0tuDiY8C3ctxq1tqvaCgkFb8cCA/edit?usp=sharing"",""สุรินทร์!J365"")"),999)</f>
        <v>999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IFERROR(__xludf.DUMMYFUNCTION("IMPORTRANGE(""https://docs.google.com/spreadsheets/d/1XL5vhW3sbDhbH9Cz0tuDiY8C3ctxq1tqvaCgkFb8cCA/edit?usp=sharing"",""สุรินทร์!I366"")"),0)</f>
        <v>0</v>
      </c>
      <c r="J471" s="190">
        <f ca="1">IFERROR(__xludf.DUMMYFUNCTION("IMPORTRANGE(""https://docs.google.com/spreadsheets/d/1XL5vhW3sbDhbH9Cz0tuDiY8C3ctxq1tqvaCgkFb8cCA/edit?usp=sharing"",""สุรินทร์!J366"")"),2021)</f>
        <v>2021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IFERROR(__xludf.DUMMYFUNCTION("IMPORTRANGE(""https://docs.google.com/spreadsheets/d/1XL5vhW3sbDhbH9Cz0tuDiY8C3ctxq1tqvaCgkFb8cCA/edit?usp=sharing"",""สุรินทร์!I367"")"),0)</f>
        <v>0</v>
      </c>
      <c r="J472" s="190">
        <f ca="1">IFERROR(__xludf.DUMMYFUNCTION("IMPORTRANGE(""https://docs.google.com/spreadsheets/d/1XL5vhW3sbDhbH9Cz0tuDiY8C3ctxq1tqvaCgkFb8cCA/edit?usp=sharing"",""สุรินทร์!J367"")"),188)</f>
        <v>188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IFERROR(__xludf.DUMMYFUNCTION("IMPORTRANGE(""https://docs.google.com/spreadsheets/d/1XL5vhW3sbDhbH9Cz0tuDiY8C3ctxq1tqvaCgkFb8cCA/edit?usp=sharing"",""สุรินทร์!J368"")"),1057)</f>
        <v>1057</v>
      </c>
      <c r="K473" s="203">
        <f t="shared" ca="1" si="117"/>
        <v>2.3313262312799137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IFERROR(__xludf.DUMMYFUNCTION("IMPORTRANGE(""https://docs.google.com/spreadsheets/d/1XL5vhW3sbDhbH9Cz0tuDiY8C3ctxq1tqvaCgkFb8cCA/edit?usp=sharing"",""สุรินทร์!J369"")"),240)</f>
        <v>240</v>
      </c>
      <c r="K474" s="165">
        <f t="shared" ca="1" si="117"/>
        <v>3.7777427986777901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IFERROR(__xludf.DUMMYFUNCTION("IMPORTRANGE(""https://docs.google.com/spreadsheets/d/1XL5vhW3sbDhbH9Cz0tuDiY8C3ctxq1tqvaCgkFb8cCA/edit?usp=sharing"",""สุรินทร์!I370"")"),0)</f>
        <v>0</v>
      </c>
      <c r="J475" s="190">
        <f ca="1">IFERROR(__xludf.DUMMYFUNCTION("IMPORTRANGE(""https://docs.google.com/spreadsheets/d/1XL5vhW3sbDhbH9Cz0tuDiY8C3ctxq1tqvaCgkFb8cCA/edit?usp=sharing"",""สุรินทร์!J370"")"),1036)</f>
        <v>1036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IFERROR(__xludf.DUMMYFUNCTION("IMPORTRANGE(""https://docs.google.com/spreadsheets/d/1XL5vhW3sbDhbH9Cz0tuDiY8C3ctxq1tqvaCgkFb8cCA/edit?usp=sharing"",""สุรินทร์!I371"")"),0)</f>
        <v>0</v>
      </c>
      <c r="J476" s="190">
        <f ca="1">IFERROR(__xludf.DUMMYFUNCTION("IMPORTRANGE(""https://docs.google.com/spreadsheets/d/1XL5vhW3sbDhbH9Cz0tuDiY8C3ctxq1tqvaCgkFb8cCA/edit?usp=sharing"",""สุรินทร์!J371"")"),229)</f>
        <v>229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IFERROR(__xludf.DUMMYFUNCTION("IMPORTRANGE(""https://docs.google.com/spreadsheets/d/1XL5vhW3sbDhbH9Cz0tuDiY8C3ctxq1tqvaCgkFb8cCA/edit?usp=sharing"",""สุรินทร์!I372"")"),0)</f>
        <v>0</v>
      </c>
      <c r="J477" s="190">
        <f ca="1">IFERROR(__xludf.DUMMYFUNCTION("IMPORTRANGE(""https://docs.google.com/spreadsheets/d/1XL5vhW3sbDhbH9Cz0tuDiY8C3ctxq1tqvaCgkFb8cCA/edit?usp=sharing"",""สุรินทร์!J372"")"),19)</f>
        <v>19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IFERROR(__xludf.DUMMYFUNCTION("IMPORTRANGE(""https://docs.google.com/spreadsheets/d/1XL5vhW3sbDhbH9Cz0tuDiY8C3ctxq1tqvaCgkFb8cCA/edit?usp=sharing"",""สุรินทร์!I373"")"),0)</f>
        <v>0</v>
      </c>
      <c r="J478" s="190">
        <f ca="1">IFERROR(__xludf.DUMMYFUNCTION("IMPORTRANGE(""https://docs.google.com/spreadsheets/d/1XL5vhW3sbDhbH9Cz0tuDiY8C3ctxq1tqvaCgkFb8cCA/edit?usp=sharing"",""สุรินทร์!J373"")"),8)</f>
        <v>8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IFERROR(__xludf.DUMMYFUNCTION("IMPORTRANGE(""https://docs.google.com/spreadsheets/d/1XL5vhW3sbDhbH9Cz0tuDiY8C3ctxq1tqvaCgkFb8cCA/edit?usp=sharing"",""สุรินทร์!I374"")"),0)</f>
        <v>0</v>
      </c>
      <c r="J479" s="190">
        <f ca="1">IFERROR(__xludf.DUMMYFUNCTION("IMPORTRANGE(""https://docs.google.com/spreadsheets/d/1XL5vhW3sbDhbH9Cz0tuDiY8C3ctxq1tqvaCgkFb8cCA/edit?usp=sharing"",""สุรินทร์!J374"")"),2)</f>
        <v>2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IFERROR(__xludf.DUMMYFUNCTION("IMPORTRANGE(""https://docs.google.com/spreadsheets/d/1XL5vhW3sbDhbH9Cz0tuDiY8C3ctxq1tqvaCgkFb8cCA/edit?usp=sharing"",""สุรินทร์!I375"")"),0)</f>
        <v>0</v>
      </c>
      <c r="J480" s="190">
        <f ca="1">IFERROR(__xludf.DUMMYFUNCTION("IMPORTRANGE(""https://docs.google.com/spreadsheets/d/1XL5vhW3sbDhbH9Cz0tuDiY8C3ctxq1tqvaCgkFb8cCA/edit?usp=sharing"",""สุรินทร์!J375"")"),3)</f>
        <v>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IFERROR(__xludf.DUMMYFUNCTION("IMPORTRANGE(""https://docs.google.com/spreadsheets/d/1XL5vhW3sbDhbH9Cz0tuDiY8C3ctxq1tqvaCgkFb8cCA/edit?usp=sharing"",""สุรินทร์!I378"")"),0)</f>
        <v>0</v>
      </c>
      <c r="J483" s="190">
        <f ca="1">IFERROR(__xludf.DUMMYFUNCTION("IMPORTRANGE(""https://docs.google.com/spreadsheets/d/1XL5vhW3sbDhbH9Cz0tuDiY8C3ctxq1tqvaCgkFb8cCA/edit?usp=sharing"",""สุรินทร์!J378"")"),0)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IFERROR(__xludf.DUMMYFUNCTION("IMPORTRANGE(""https://docs.google.com/spreadsheets/d/1XL5vhW3sbDhbH9Cz0tuDiY8C3ctxq1tqvaCgkFb8cCA/edit?usp=sharing"",""สุรินทร์!I379"")"),0)</f>
        <v>0</v>
      </c>
      <c r="J484" s="190">
        <f ca="1">IFERROR(__xludf.DUMMYFUNCTION("IMPORTRANGE(""https://docs.google.com/spreadsheets/d/1XL5vhW3sbDhbH9Cz0tuDiY8C3ctxq1tqvaCgkFb8cCA/edit?usp=sharing"",""สุรินทร์!J379"")"),0)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IFERROR(__xludf.DUMMYFUNCTION("IMPORTRANGE(""https://docs.google.com/spreadsheets/d/1XL5vhW3sbDhbH9Cz0tuDiY8C3ctxq1tqvaCgkFb8cCA/edit?usp=sharing"",""สุรินทร์!I380"")"),0)</f>
        <v>0</v>
      </c>
      <c r="J485" s="190">
        <f ca="1">IFERROR(__xludf.DUMMYFUNCTION("IMPORTRANGE(""https://docs.google.com/spreadsheets/d/1XL5vhW3sbDhbH9Cz0tuDiY8C3ctxq1tqvaCgkFb8cCA/edit?usp=sharing"",""สุรินทร์!J380"")"),0)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IFERROR(__xludf.DUMMYFUNCTION("IMPORTRANGE(""https://docs.google.com/spreadsheets/d/1XL5vhW3sbDhbH9Cz0tuDiY8C3ctxq1tqvaCgkFb8cCA/edit?usp=sharing"",""สุรินทร์!I381"")"),0)</f>
        <v>0</v>
      </c>
      <c r="J486" s="190">
        <f ca="1">IFERROR(__xludf.DUMMYFUNCTION("IMPORTRANGE(""https://docs.google.com/spreadsheets/d/1XL5vhW3sbDhbH9Cz0tuDiY8C3ctxq1tqvaCgkFb8cCA/edit?usp=sharing"",""สุรินทร์!J381"")"),0)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IFERROR(__xludf.DUMMYFUNCTION("IMPORTRANGE(""https://docs.google.com/spreadsheets/d/1XL5vhW3sbDhbH9Cz0tuDiY8C3ctxq1tqvaCgkFb8cCA/edit?usp=sharing"",""สุรินทร์!I384"")"),0)</f>
        <v>0</v>
      </c>
      <c r="J489" s="190">
        <f ca="1">IFERROR(__xludf.DUMMYFUNCTION("IMPORTRANGE(""https://docs.google.com/spreadsheets/d/1XL5vhW3sbDhbH9Cz0tuDiY8C3ctxq1tqvaCgkFb8cCA/edit?usp=sharing"",""สุรินทร์!J384"")"),0)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IFERROR(__xludf.DUMMYFUNCTION("IMPORTRANGE(""https://docs.google.com/spreadsheets/d/1XL5vhW3sbDhbH9Cz0tuDiY8C3ctxq1tqvaCgkFb8cCA/edit?usp=sharing"",""สุรินทร์!I385"")"),0)</f>
        <v>0</v>
      </c>
      <c r="J490" s="190">
        <f ca="1">IFERROR(__xludf.DUMMYFUNCTION("IMPORTRANGE(""https://docs.google.com/spreadsheets/d/1XL5vhW3sbDhbH9Cz0tuDiY8C3ctxq1tqvaCgkFb8cCA/edit?usp=sharing"",""สุรินทร์!J385"")"),0)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IFERROR(__xludf.DUMMYFUNCTION("IMPORTRANGE(""https://docs.google.com/spreadsheets/d/1XL5vhW3sbDhbH9Cz0tuDiY8C3ctxq1tqvaCgkFb8cCA/edit?usp=sharing"",""สุรินทร์!I386"")"),0)</f>
        <v>0</v>
      </c>
      <c r="J491" s="190">
        <f ca="1">IFERROR(__xludf.DUMMYFUNCTION("IMPORTRANGE(""https://docs.google.com/spreadsheets/d/1XL5vhW3sbDhbH9Cz0tuDiY8C3ctxq1tqvaCgkFb8cCA/edit?usp=sharing"",""สุรินทร์!J386"")"),0)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IFERROR(__xludf.DUMMYFUNCTION("IMPORTRANGE(""https://docs.google.com/spreadsheets/d/1XL5vhW3sbDhbH9Cz0tuDiY8C3ctxq1tqvaCgkFb8cCA/edit?usp=sharing"",""สุรินทร์!I387"")"),0)</f>
        <v>0</v>
      </c>
      <c r="J492" s="190">
        <f ca="1">IFERROR(__xludf.DUMMYFUNCTION("IMPORTRANGE(""https://docs.google.com/spreadsheets/d/1XL5vhW3sbDhbH9Cz0tuDiY8C3ctxq1tqvaCgkFb8cCA/edit?usp=sharing"",""สุรินทร์!J387"")"),0)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IFERROR(__xludf.DUMMYFUNCTION("IMPORTRANGE(""https://docs.google.com/spreadsheets/d/1XL5vhW3sbDhbH9Cz0tuDiY8C3ctxq1tqvaCgkFb8cCA/edit?usp=sharing"",""สุรินทร์!I388"")"),0)</f>
        <v>0</v>
      </c>
      <c r="J493" s="190">
        <f ca="1">IFERROR(__xludf.DUMMYFUNCTION("IMPORTRANGE(""https://docs.google.com/spreadsheets/d/1XL5vhW3sbDhbH9Cz0tuDiY8C3ctxq1tqvaCgkFb8cCA/edit?usp=sharing"",""สุรินทร์!J388"")"),0)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IFERROR(__xludf.DUMMYFUNCTION("IMPORTRANGE(""https://docs.google.com/spreadsheets/d/1XL5vhW3sbDhbH9Cz0tuDiY8C3ctxq1tqvaCgkFb8cCA/edit?usp=sharing"",""สุรินทร์!J392"")"),874)</f>
        <v>874</v>
      </c>
      <c r="K497" s="444">
        <f t="shared" ca="1" si="117"/>
        <v>19.145673603504928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IFERROR(__xludf.DUMMYFUNCTION("IMPORTRANGE(""https://docs.google.com/spreadsheets/d/1XL5vhW3sbDhbH9Cz0tuDiY8C3ctxq1tqvaCgkFb8cCA/edit?usp=sharing"",""สุรินทร์!J393"")"),874)</f>
        <v>874</v>
      </c>
      <c r="K498" s="165">
        <f t="shared" ca="1" si="117"/>
        <v>19.145673603504928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IFERROR(__xludf.DUMMYFUNCTION("IMPORTRANGE(""https://docs.google.com/spreadsheets/d/1XL5vhW3sbDhbH9Cz0tuDiY8C3ctxq1tqvaCgkFb8cCA/edit?usp=sharing"",""สุรินทร์!J394"")"),188)</f>
        <v>188</v>
      </c>
      <c r="K499" s="203">
        <f t="shared" ca="1" si="117"/>
        <v>20.912124582869854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IFERROR(__xludf.DUMMYFUNCTION("IMPORTRANGE(""https://docs.google.com/spreadsheets/d/1XL5vhW3sbDhbH9Cz0tuDiY8C3ctxq1tqvaCgkFb8cCA/edit?usp=sharing"",""สุรินทร์!I395"")"),0)</f>
        <v>0</v>
      </c>
      <c r="J500" s="164">
        <f ca="1">IFERROR(__xludf.DUMMYFUNCTION("IMPORTRANGE(""https://docs.google.com/spreadsheets/d/1XL5vhW3sbDhbH9Cz0tuDiY8C3ctxq1tqvaCgkFb8cCA/edit?usp=sharing"",""สุรินทร์!J395"")"),690)</f>
        <v>690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IFERROR(__xludf.DUMMYFUNCTION("IMPORTRANGE(""https://docs.google.com/spreadsheets/d/1XL5vhW3sbDhbH9Cz0tuDiY8C3ctxq1tqvaCgkFb8cCA/edit?usp=sharing"",""สุรินทร์!I396"")"),0)</f>
        <v>0</v>
      </c>
      <c r="J501" s="164">
        <f ca="1">IFERROR(__xludf.DUMMYFUNCTION("IMPORTRANGE(""https://docs.google.com/spreadsheets/d/1XL5vhW3sbDhbH9Cz0tuDiY8C3ctxq1tqvaCgkFb8cCA/edit?usp=sharing"",""สุรินทร์!J396"")"),161)</f>
        <v>161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IFERROR(__xludf.DUMMYFUNCTION("IMPORTRANGE(""https://docs.google.com/spreadsheets/d/1XL5vhW3sbDhbH9Cz0tuDiY8C3ctxq1tqvaCgkFb8cCA/edit?usp=sharing"",""สุรินทร์!I397"")"),0)</f>
        <v>0</v>
      </c>
      <c r="J502" s="190">
        <f ca="1">IFERROR(__xludf.DUMMYFUNCTION("IMPORTRANGE(""https://docs.google.com/spreadsheets/d/1XL5vhW3sbDhbH9Cz0tuDiY8C3ctxq1tqvaCgkFb8cCA/edit?usp=sharing"",""สุรินทร์!J397"")"),544)</f>
        <v>544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IFERROR(__xludf.DUMMYFUNCTION("IMPORTRANGE(""https://docs.google.com/spreadsheets/d/1XL5vhW3sbDhbH9Cz0tuDiY8C3ctxq1tqvaCgkFb8cCA/edit?usp=sharing"",""สุรินทร์!I398"")"),0)</f>
        <v>0</v>
      </c>
      <c r="J503" s="199">
        <f ca="1">IFERROR(__xludf.DUMMYFUNCTION("IMPORTRANGE(""https://docs.google.com/spreadsheets/d/1XL5vhW3sbDhbH9Cz0tuDiY8C3ctxq1tqvaCgkFb8cCA/edit?usp=sharing"",""สุรินทร์!J398"")"),123)</f>
        <v>123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IFERROR(__xludf.DUMMYFUNCTION("IMPORTRANGE(""https://docs.google.com/spreadsheets/d/1XL5vhW3sbDhbH9Cz0tuDiY8C3ctxq1tqvaCgkFb8cCA/edit?usp=sharing"",""สุรินทร์!I399"")"),0)</f>
        <v>0</v>
      </c>
      <c r="J504" s="190">
        <f ca="1">IFERROR(__xludf.DUMMYFUNCTION("IMPORTRANGE(""https://docs.google.com/spreadsheets/d/1XL5vhW3sbDhbH9Cz0tuDiY8C3ctxq1tqvaCgkFb8cCA/edit?usp=sharing"",""สุรินทร์!J399"")"),146)</f>
        <v>146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IFERROR(__xludf.DUMMYFUNCTION("IMPORTRANGE(""https://docs.google.com/spreadsheets/d/1XL5vhW3sbDhbH9Cz0tuDiY8C3ctxq1tqvaCgkFb8cCA/edit?usp=sharing"",""สุรินทร์!I400"")"),0)</f>
        <v>0</v>
      </c>
      <c r="J505" s="199">
        <f ca="1">IFERROR(__xludf.DUMMYFUNCTION("IMPORTRANGE(""https://docs.google.com/spreadsheets/d/1XL5vhW3sbDhbH9Cz0tuDiY8C3ctxq1tqvaCgkFb8cCA/edit?usp=sharing"",""สุรินทร์!J400"")"),38)</f>
        <v>38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IFERROR(__xludf.DUMMYFUNCTION("IMPORTRANGE(""https://docs.google.com/spreadsheets/d/1XL5vhW3sbDhbH9Cz0tuDiY8C3ctxq1tqvaCgkFb8cCA/edit?usp=sharing"",""สุรินทร์!I401"")"),0)</f>
        <v>0</v>
      </c>
      <c r="J506" s="190">
        <f ca="1">IFERROR(__xludf.DUMMYFUNCTION("IMPORTRANGE(""https://docs.google.com/spreadsheets/d/1XL5vhW3sbDhbH9Cz0tuDiY8C3ctxq1tqvaCgkFb8cCA/edit?usp=sharing"",""สุรินทร์!J401"")"),0)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IFERROR(__xludf.DUMMYFUNCTION("IMPORTRANGE(""https://docs.google.com/spreadsheets/d/1XL5vhW3sbDhbH9Cz0tuDiY8C3ctxq1tqvaCgkFb8cCA/edit?usp=sharing"",""สุรินทร์!I402"")"),0)</f>
        <v>0</v>
      </c>
      <c r="J507" s="199">
        <f ca="1">IFERROR(__xludf.DUMMYFUNCTION("IMPORTRANGE(""https://docs.google.com/spreadsheets/d/1XL5vhW3sbDhbH9Cz0tuDiY8C3ctxq1tqvaCgkFb8cCA/edit?usp=sharing"",""สุรินทร์!J402"")"),0)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IFERROR(__xludf.DUMMYFUNCTION("IMPORTRANGE(""https://docs.google.com/spreadsheets/d/1XL5vhW3sbDhbH9Cz0tuDiY8C3ctxq1tqvaCgkFb8cCA/edit?usp=sharing"",""สุรินทร์!I403"")"),0)</f>
        <v>0</v>
      </c>
      <c r="J508" s="164">
        <f ca="1">IFERROR(__xludf.DUMMYFUNCTION("IMPORTRANGE(""https://docs.google.com/spreadsheets/d/1XL5vhW3sbDhbH9Cz0tuDiY8C3ctxq1tqvaCgkFb8cCA/edit?usp=sharing"",""สุรินทร์!J403"")"),184)</f>
        <v>184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IFERROR(__xludf.DUMMYFUNCTION("IMPORTRANGE(""https://docs.google.com/spreadsheets/d/1XL5vhW3sbDhbH9Cz0tuDiY8C3ctxq1tqvaCgkFb8cCA/edit?usp=sharing"",""สุรินทร์!I404"")"),0)</f>
        <v>0</v>
      </c>
      <c r="J509" s="164">
        <f ca="1">IFERROR(__xludf.DUMMYFUNCTION("IMPORTRANGE(""https://docs.google.com/spreadsheets/d/1XL5vhW3sbDhbH9Cz0tuDiY8C3ctxq1tqvaCgkFb8cCA/edit?usp=sharing"",""สุรินทร์!J404"")"),27)</f>
        <v>27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IFERROR(__xludf.DUMMYFUNCTION("IMPORTRANGE(""https://docs.google.com/spreadsheets/d/1XL5vhW3sbDhbH9Cz0tuDiY8C3ctxq1tqvaCgkFb8cCA/edit?usp=sharing"",""สุรินทร์!I405"")"),0)</f>
        <v>0</v>
      </c>
      <c r="J510" s="199">
        <f ca="1">IFERROR(__xludf.DUMMYFUNCTION("IMPORTRANGE(""https://docs.google.com/spreadsheets/d/1XL5vhW3sbDhbH9Cz0tuDiY8C3ctxq1tqvaCgkFb8cCA/edit?usp=sharing"",""สุรินทร์!J405"")"),184)</f>
        <v>184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IFERROR(__xludf.DUMMYFUNCTION("IMPORTRANGE(""https://docs.google.com/spreadsheets/d/1XL5vhW3sbDhbH9Cz0tuDiY8C3ctxq1tqvaCgkFb8cCA/edit?usp=sharing"",""สุรินทร์!I406"")"),0)</f>
        <v>0</v>
      </c>
      <c r="J511" s="199">
        <f ca="1">IFERROR(__xludf.DUMMYFUNCTION("IMPORTRANGE(""https://docs.google.com/spreadsheets/d/1XL5vhW3sbDhbH9Cz0tuDiY8C3ctxq1tqvaCgkFb8cCA/edit?usp=sharing"",""สุรินทร์!J406"")"),27)</f>
        <v>27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IFERROR(__xludf.DUMMYFUNCTION("IMPORTRANGE(""https://docs.google.com/spreadsheets/d/1XL5vhW3sbDhbH9Cz0tuDiY8C3ctxq1tqvaCgkFb8cCA/edit?usp=sharing"",""สุรินทร์!I407"")"),0)</f>
        <v>0</v>
      </c>
      <c r="J512" s="199">
        <f ca="1">IFERROR(__xludf.DUMMYFUNCTION("IMPORTRANGE(""https://docs.google.com/spreadsheets/d/1XL5vhW3sbDhbH9Cz0tuDiY8C3ctxq1tqvaCgkFb8cCA/edit?usp=sharing"",""สุรินทร์!J407"")"),0)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IFERROR(__xludf.DUMMYFUNCTION("IMPORTRANGE(""https://docs.google.com/spreadsheets/d/1XL5vhW3sbDhbH9Cz0tuDiY8C3ctxq1tqvaCgkFb8cCA/edit?usp=sharing"",""สุรินทร์!I408"")"),0)</f>
        <v>0</v>
      </c>
      <c r="J513" s="199">
        <f ca="1">IFERROR(__xludf.DUMMYFUNCTION("IMPORTRANGE(""https://docs.google.com/spreadsheets/d/1XL5vhW3sbDhbH9Cz0tuDiY8C3ctxq1tqvaCgkFb8cCA/edit?usp=sharing"",""สุรินทร์!J408"")"),0)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IFERROR(__xludf.DUMMYFUNCTION("IMPORTRANGE(""https://docs.google.com/spreadsheets/d/1XL5vhW3sbDhbH9Cz0tuDiY8C3ctxq1tqvaCgkFb8cCA/edit?usp=sharing"",""สุรินทร์!I409"")"),0)</f>
        <v>0</v>
      </c>
      <c r="J514" s="199">
        <f ca="1">IFERROR(__xludf.DUMMYFUNCTION("IMPORTRANGE(""https://docs.google.com/spreadsheets/d/1XL5vhW3sbDhbH9Cz0tuDiY8C3ctxq1tqvaCgkFb8cCA/edit?usp=sharing"",""สุรินทร์!J409"")"),0)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IFERROR(__xludf.DUMMYFUNCTION("IMPORTRANGE(""https://docs.google.com/spreadsheets/d/1XL5vhW3sbDhbH9Cz0tuDiY8C3ctxq1tqvaCgkFb8cCA/edit?usp=sharing"",""สุรินทร์!I410"")"),0)</f>
        <v>0</v>
      </c>
      <c r="J515" s="199">
        <f ca="1">IFERROR(__xludf.DUMMYFUNCTION("IMPORTRANGE(""https://docs.google.com/spreadsheets/d/1XL5vhW3sbDhbH9Cz0tuDiY8C3ctxq1tqvaCgkFb8cCA/edit?usp=sharing"",""สุรินทร์!J410"")"),0)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IFERROR(__xludf.DUMMYFUNCTION("IMPORTRANGE(""https://docs.google.com/spreadsheets/d/1XL5vhW3sbDhbH9Cz0tuDiY8C3ctxq1tqvaCgkFb8cCA/edit?usp=sharing"",""สุรินทร์!I412"")"),0)</f>
        <v>0</v>
      </c>
      <c r="J517" s="284">
        <f ca="1">IFERROR(__xludf.DUMMYFUNCTION("IMPORTRANGE(""https://docs.google.com/spreadsheets/d/1XL5vhW3sbDhbH9Cz0tuDiY8C3ctxq1tqvaCgkFb8cCA/edit?usp=sharing"",""สุรินทร์!J412"")"),0)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IFERROR(__xludf.DUMMYFUNCTION("IMPORTRANGE(""https://docs.google.com/spreadsheets/d/1XL5vhW3sbDhbH9Cz0tuDiY8C3ctxq1tqvaCgkFb8cCA/edit?usp=sharing"",""สุรินทร์!I413"")"),0)</f>
        <v>0</v>
      </c>
      <c r="J518" s="284">
        <f ca="1">IFERROR(__xludf.DUMMYFUNCTION("IMPORTRANGE(""https://docs.google.com/spreadsheets/d/1XL5vhW3sbDhbH9Cz0tuDiY8C3ctxq1tqvaCgkFb8cCA/edit?usp=sharing"",""สุรินทร์!J413"")"),0)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IFERROR(__xludf.DUMMYFUNCTION("IMPORTRANGE(""https://docs.google.com/spreadsheets/d/1XL5vhW3sbDhbH9Cz0tuDiY8C3ctxq1tqvaCgkFb8cCA/edit?usp=sharing"",""สุรินทร์!I414"")"),0)</f>
        <v>0</v>
      </c>
      <c r="J519" s="189">
        <f ca="1">IFERROR(__xludf.DUMMYFUNCTION("IMPORTRANGE(""https://docs.google.com/spreadsheets/d/1XL5vhW3sbDhbH9Cz0tuDiY8C3ctxq1tqvaCgkFb8cCA/edit?usp=sharing"",""สุรินทร์!J414"")"),0)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IFERROR(__xludf.DUMMYFUNCTION("IMPORTRANGE(""https://docs.google.com/spreadsheets/d/1XL5vhW3sbDhbH9Cz0tuDiY8C3ctxq1tqvaCgkFb8cCA/edit?usp=sharing"",""สุรินทร์!I415"")"),0)</f>
        <v>0</v>
      </c>
      <c r="J520" s="189">
        <f ca="1">IFERROR(__xludf.DUMMYFUNCTION("IMPORTRANGE(""https://docs.google.com/spreadsheets/d/1XL5vhW3sbDhbH9Cz0tuDiY8C3ctxq1tqvaCgkFb8cCA/edit?usp=sharing"",""สุรินทร์!J415"")"),0)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IFERROR(__xludf.DUMMYFUNCTION("IMPORTRANGE(""https://docs.google.com/spreadsheets/d/1XL5vhW3sbDhbH9Cz0tuDiY8C3ctxq1tqvaCgkFb8cCA/edit?usp=sharing"",""สุรินทร์!I416"")"),0)</f>
        <v>0</v>
      </c>
      <c r="J521" s="189">
        <f ca="1">IFERROR(__xludf.DUMMYFUNCTION("IMPORTRANGE(""https://docs.google.com/spreadsheets/d/1XL5vhW3sbDhbH9Cz0tuDiY8C3ctxq1tqvaCgkFb8cCA/edit?usp=sharing"",""สุรินทร์!J416"")"),0)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IFERROR(__xludf.DUMMYFUNCTION("IMPORTRANGE(""https://docs.google.com/spreadsheets/d/1XL5vhW3sbDhbH9Cz0tuDiY8C3ctxq1tqvaCgkFb8cCA/edit?usp=sharing"",""สุรินทร์!I417"")"),0)</f>
        <v>0</v>
      </c>
      <c r="J522" s="189">
        <f ca="1">IFERROR(__xludf.DUMMYFUNCTION("IMPORTRANGE(""https://docs.google.com/spreadsheets/d/1XL5vhW3sbDhbH9Cz0tuDiY8C3ctxq1tqvaCgkFb8cCA/edit?usp=sharing"",""สุรินทร์!J417"")"),0)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IFERROR(__xludf.DUMMYFUNCTION("IMPORTRANGE(""https://docs.google.com/spreadsheets/d/1XL5vhW3sbDhbH9Cz0tuDiY8C3ctxq1tqvaCgkFb8cCA/edit?usp=sharing"",""สุรินทร์!I418"")"),0)</f>
        <v>0</v>
      </c>
      <c r="J523" s="189">
        <f ca="1">IFERROR(__xludf.DUMMYFUNCTION("IMPORTRANGE(""https://docs.google.com/spreadsheets/d/1XL5vhW3sbDhbH9Cz0tuDiY8C3ctxq1tqvaCgkFb8cCA/edit?usp=sharing"",""สุรินทร์!J418"")"),40)</f>
        <v>40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IFERROR(__xludf.DUMMYFUNCTION("IMPORTRANGE(""https://docs.google.com/spreadsheets/d/1XL5vhW3sbDhbH9Cz0tuDiY8C3ctxq1tqvaCgkFb8cCA/edit?usp=sharing"",""สุรินทร์!I419"")"),0)</f>
        <v>0</v>
      </c>
      <c r="J524" s="189">
        <f ca="1">IFERROR(__xludf.DUMMYFUNCTION("IMPORTRANGE(""https://docs.google.com/spreadsheets/d/1XL5vhW3sbDhbH9Cz0tuDiY8C3ctxq1tqvaCgkFb8cCA/edit?usp=sharing"",""สุรินทร์!J419"")"),4)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IFERROR(__xludf.DUMMYFUNCTION("IMPORTRANGE(""https://docs.google.com/spreadsheets/d/1XL5vhW3sbDhbH9Cz0tuDiY8C3ctxq1tqvaCgkFb8cCA/edit?usp=sharing"",""สุรินทร์!I420"")"),40)</f>
        <v>40</v>
      </c>
      <c r="J525" s="284">
        <f ca="1">IFERROR(__xludf.DUMMYFUNCTION("IMPORTRANGE(""https://docs.google.com/spreadsheets/d/1XL5vhW3sbDhbH9Cz0tuDiY8C3ctxq1tqvaCgkFb8cCA/edit?usp=sharing"",""สุรินทร์!J420"")"),0)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IFERROR(__xludf.DUMMYFUNCTION("IMPORTRANGE(""https://docs.google.com/spreadsheets/d/1XL5vhW3sbDhbH9Cz0tuDiY8C3ctxq1tqvaCgkFb8cCA/edit?usp=sharing"",""สุรินทร์!I421"")"),4)</f>
        <v>4</v>
      </c>
      <c r="J526" s="284">
        <f ca="1">IFERROR(__xludf.DUMMYFUNCTION("IMPORTRANGE(""https://docs.google.com/spreadsheets/d/1XL5vhW3sbDhbH9Cz0tuDiY8C3ctxq1tqvaCgkFb8cCA/edit?usp=sharing"",""สุรินทร์!J421"")"),0)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IFERROR(__xludf.DUMMYFUNCTION("IMPORTRANGE(""https://docs.google.com/spreadsheets/d/1XL5vhW3sbDhbH9Cz0tuDiY8C3ctxq1tqvaCgkFb8cCA/edit?usp=sharing"",""สุรินทร์!I422"")"),0)</f>
        <v>0</v>
      </c>
      <c r="J527" s="199">
        <f ca="1">IFERROR(__xludf.DUMMYFUNCTION("IMPORTRANGE(""https://docs.google.com/spreadsheets/d/1XL5vhW3sbDhbH9Cz0tuDiY8C3ctxq1tqvaCgkFb8cCA/edit?usp=sharing"",""สุรินทร์!J422"")"),0)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IFERROR(__xludf.DUMMYFUNCTION("IMPORTRANGE(""https://docs.google.com/spreadsheets/d/1XL5vhW3sbDhbH9Cz0tuDiY8C3ctxq1tqvaCgkFb8cCA/edit?usp=sharing"",""สุรินทร์!I423"")"),0)</f>
        <v>0</v>
      </c>
      <c r="J528" s="199">
        <f ca="1">IFERROR(__xludf.DUMMYFUNCTION("IMPORTRANGE(""https://docs.google.com/spreadsheets/d/1XL5vhW3sbDhbH9Cz0tuDiY8C3ctxq1tqvaCgkFb8cCA/edit?usp=sharing"",""สุรินทร์!J423"")"),0)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IFERROR(__xludf.DUMMYFUNCTION("IMPORTRANGE(""https://docs.google.com/spreadsheets/d/1XL5vhW3sbDhbH9Cz0tuDiY8C3ctxq1tqvaCgkFb8cCA/edit?usp=sharing"",""สุรินทร์!I424"")"),0)</f>
        <v>0</v>
      </c>
      <c r="J529" s="199">
        <f ca="1">IFERROR(__xludf.DUMMYFUNCTION("IMPORTRANGE(""https://docs.google.com/spreadsheets/d/1XL5vhW3sbDhbH9Cz0tuDiY8C3ctxq1tqvaCgkFb8cCA/edit?usp=sharing"",""สุรินทร์!J424"")"),0)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IFERROR(__xludf.DUMMYFUNCTION("IMPORTRANGE(""https://docs.google.com/spreadsheets/d/1XL5vhW3sbDhbH9Cz0tuDiY8C3ctxq1tqvaCgkFb8cCA/edit?usp=sharing"",""สุรินทร์!I425"")"),0)</f>
        <v>0</v>
      </c>
      <c r="J530" s="199">
        <f ca="1">IFERROR(__xludf.DUMMYFUNCTION("IMPORTRANGE(""https://docs.google.com/spreadsheets/d/1XL5vhW3sbDhbH9Cz0tuDiY8C3ctxq1tqvaCgkFb8cCA/edit?usp=sharing"",""สุรินทร์!J425"")"),0)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IFERROR(__xludf.DUMMYFUNCTION("IMPORTRANGE(""https://docs.google.com/spreadsheets/d/1XL5vhW3sbDhbH9Cz0tuDiY8C3ctxq1tqvaCgkFb8cCA/edit?usp=sharing"",""สุรินทร์!I426"")"),0)</f>
        <v>0</v>
      </c>
      <c r="J531" s="199">
        <f ca="1">IFERROR(__xludf.DUMMYFUNCTION("IMPORTRANGE(""https://docs.google.com/spreadsheets/d/1XL5vhW3sbDhbH9Cz0tuDiY8C3ctxq1tqvaCgkFb8cCA/edit?usp=sharing"",""สุรินทร์!J426"")"),0)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IFERROR(__xludf.DUMMYFUNCTION("IMPORTRANGE(""https://docs.google.com/spreadsheets/d/1XL5vhW3sbDhbH9Cz0tuDiY8C3ctxq1tqvaCgkFb8cCA/edit?usp=sharing"",""สุรินทร์!L429"")"),0)</f>
        <v>0</v>
      </c>
      <c r="M534" s="166"/>
      <c r="N534" s="170">
        <f ca="1">IFERROR(__xludf.DUMMYFUNCTION("IMPORTRANGE(""https://docs.google.com/spreadsheets/d/1XL5vhW3sbDhbH9Cz0tuDiY8C3ctxq1tqvaCgkFb8cCA/edit?usp=sharing"",""สุรินทร์!M429"")"),0)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IFERROR(__xludf.DUMMYFUNCTION("IMPORTRANGE(""https://docs.google.com/spreadsheets/d/1XL5vhW3sbDhbH9Cz0tuDiY8C3ctxq1tqvaCgkFb8cCA/edit?usp=sharing"",""สุรินทร์!L430"")"),34340)</f>
        <v>34340</v>
      </c>
      <c r="M535" s="167"/>
      <c r="N535" s="170">
        <f ca="1">IFERROR(__xludf.DUMMYFUNCTION("IMPORTRANGE(""https://docs.google.com/spreadsheets/d/1XL5vhW3sbDhbH9Cz0tuDiY8C3ctxq1tqvaCgkFb8cCA/edit?usp=sharing"",""สุรินทร์!M430"")"),31220)</f>
        <v>31220</v>
      </c>
      <c r="O535" s="170">
        <f t="shared" ca="1" si="118"/>
        <v>90.914385556202674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IFERROR(__xludf.DUMMYFUNCTION("IMPORTRANGE(""https://docs.google.com/spreadsheets/d/1XL5vhW3sbDhbH9Cz0tuDiY8C3ctxq1tqvaCgkFb8cCA/edit?usp=sharing"",""สุรินทร์!L431"")"),0)</f>
        <v>0</v>
      </c>
      <c r="M536" s="170"/>
      <c r="N536" s="170">
        <f ca="1">IFERROR(__xludf.DUMMYFUNCTION("IMPORTRANGE(""https://docs.google.com/spreadsheets/d/1XL5vhW3sbDhbH9Cz0tuDiY8C3ctxq1tqvaCgkFb8cCA/edit?usp=sharing"",""สุรินทร์!M431"")"),0)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IFERROR(__xludf.DUMMYFUNCTION("IMPORTRANGE(""https://docs.google.com/spreadsheets/d/1XL5vhW3sbDhbH9Cz0tuDiY8C3ctxq1tqvaCgkFb8cCA/edit?usp=sharing"",""สุรินทร์!L432"")"),34340)</f>
        <v>34340</v>
      </c>
      <c r="M537" s="170"/>
      <c r="N537" s="170">
        <f ca="1">IFERROR(__xludf.DUMMYFUNCTION("IMPORTRANGE(""https://docs.google.com/spreadsheets/d/1XL5vhW3sbDhbH9Cz0tuDiY8C3ctxq1tqvaCgkFb8cCA/edit?usp=sharing"",""สุรินทร์!M432"")"),31220)</f>
        <v>31220</v>
      </c>
      <c r="O537" s="170">
        <f t="shared" ca="1" si="118"/>
        <v>90.914385556202674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IFERROR(__xludf.DUMMYFUNCTION("IMPORTRANGE(""https://docs.google.com/spreadsheets/d/1XL5vhW3sbDhbH9Cz0tuDiY8C3ctxq1tqvaCgkFb8cCA/edit?usp=sharing"",""สุรินทร์!J438"")"),0)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IFERROR(__xludf.DUMMYFUNCTION("IMPORTRANGE(""https://docs.google.com/spreadsheets/d/1XL5vhW3sbDhbH9Cz0tuDiY8C3ctxq1tqvaCgkFb8cCA/edit?usp=sharing"",""สุรินทร์!J439"")"),1)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IFERROR(__xludf.DUMMYFUNCTION("IMPORTRANGE(""https://docs.google.com/spreadsheets/d/1XL5vhW3sbDhbH9Cz0tuDiY8C3ctxq1tqvaCgkFb8cCA/edit?usp=sharing"",""สุรินทร์!J440"")"),1)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IFERROR(__xludf.DUMMYFUNCTION("IMPORTRANGE(""https://docs.google.com/spreadsheets/d/1XL5vhW3sbDhbH9Cz0tuDiY8C3ctxq1tqvaCgkFb8cCA/edit?usp=sharing"",""สุรินทร์!J441"")"),1)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IFERROR(__xludf.DUMMYFUNCTION("IMPORTRANGE(""https://docs.google.com/spreadsheets/d/1XL5vhW3sbDhbH9Cz0tuDiY8C3ctxq1tqvaCgkFb8cCA/edit?usp=sharing"",""สุรินทร์!I442"")"),22)</f>
        <v>22</v>
      </c>
      <c r="J547" s="190">
        <f ca="1">IFERROR(__xludf.DUMMYFUNCTION("IMPORTRANGE(""https://docs.google.com/spreadsheets/d/1XL5vhW3sbDhbH9Cz0tuDiY8C3ctxq1tqvaCgkFb8cCA/edit?usp=sharing"",""สุรินทร์!J442"")"),22)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IFERROR(__xludf.DUMMYFUNCTION("IMPORTRANGE(""https://docs.google.com/spreadsheets/d/1XL5vhW3sbDhbH9Cz0tuDiY8C3ctxq1tqvaCgkFb8cCA/edit?usp=sharing"",""สุรินทร์!J166"")"),0)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IFERROR(__xludf.DUMMYFUNCTION("IMPORTRANGE(""https://docs.google.com/spreadsheets/d/1XL5vhW3sbDhbH9Cz0tuDiY8C3ctxq1tqvaCgkFb8cCA/edit?usp=sharing"",""สุรินทร์!J444"")"),0)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IFERROR(__xludf.DUMMYFUNCTION("IMPORTRANGE(""https://docs.google.com/spreadsheets/d/1XL5vhW3sbDhbH9Cz0tuDiY8C3ctxq1tqvaCgkFb8cCA/edit?usp=sharing"",""สุรินทร์!L447"")"),0)</f>
        <v>0</v>
      </c>
      <c r="M552" s="166"/>
      <c r="N552" s="170">
        <f ca="1">IFERROR(__xludf.DUMMYFUNCTION("IMPORTRANGE(""https://docs.google.com/spreadsheets/d/1XL5vhW3sbDhbH9Cz0tuDiY8C3ctxq1tqvaCgkFb8cCA/edit?usp=sharing"",""สุรินทร์!M447"")"),0)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IFERROR(__xludf.DUMMYFUNCTION("IMPORTRANGE(""https://docs.google.com/spreadsheets/d/1XL5vhW3sbDhbH9Cz0tuDiY8C3ctxq1tqvaCgkFb8cCA/edit?usp=sharing"",""สุรินทร์!L448"")"),0)</f>
        <v>0</v>
      </c>
      <c r="M553" s="167"/>
      <c r="N553" s="170">
        <f ca="1">IFERROR(__xludf.DUMMYFUNCTION("IMPORTRANGE(""https://docs.google.com/spreadsheets/d/1XL5vhW3sbDhbH9Cz0tuDiY8C3ctxq1tqvaCgkFb8cCA/edit?usp=sharing"",""สุรินทร์!M448"")"),0)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IFERROR(__xludf.DUMMYFUNCTION("IMPORTRANGE(""https://docs.google.com/spreadsheets/d/1XL5vhW3sbDhbH9Cz0tuDiY8C3ctxq1tqvaCgkFb8cCA/edit?usp=sharing"",""สุรินทร์!L449"")"),0)</f>
        <v>0</v>
      </c>
      <c r="M554" s="170"/>
      <c r="N554" s="170">
        <f ca="1">IFERROR(__xludf.DUMMYFUNCTION("IMPORTRANGE(""https://docs.google.com/spreadsheets/d/1XL5vhW3sbDhbH9Cz0tuDiY8C3ctxq1tqvaCgkFb8cCA/edit?usp=sharing"",""สุรินทร์!M449"")"),0)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IFERROR(__xludf.DUMMYFUNCTION("IMPORTRANGE(""https://docs.google.com/spreadsheets/d/1XL5vhW3sbDhbH9Cz0tuDiY8C3ctxq1tqvaCgkFb8cCA/edit?usp=sharing"",""สุรินทร์!L450"")"),0)</f>
        <v>0</v>
      </c>
      <c r="M555" s="170"/>
      <c r="N555" s="170">
        <f ca="1">IFERROR(__xludf.DUMMYFUNCTION("IMPORTRANGE(""https://docs.google.com/spreadsheets/d/1XL5vhW3sbDhbH9Cz0tuDiY8C3ctxq1tqvaCgkFb8cCA/edit?usp=sharing"",""สุรินทร์!M450"")"),0)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IFERROR(__xludf.DUMMYFUNCTION("IMPORTRANGE(""https://docs.google.com/spreadsheets/d/1XL5vhW3sbDhbH9Cz0tuDiY8C3ctxq1tqvaCgkFb8cCA/edit?usp=sharing"",""สุรินทร์!M451"")"),0)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IFERROR(__xludf.DUMMYFUNCTION("IMPORTRANGE(""https://docs.google.com/spreadsheets/d/1XL5vhW3sbDhbH9Cz0tuDiY8C3ctxq1tqvaCgkFb8cCA/edit?usp=sharing"",""สุรินทร์!M452"")"),0)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IFERROR(__xludf.DUMMYFUNCTION("IMPORTRANGE(""https://docs.google.com/spreadsheets/d/1XL5vhW3sbDhbH9Cz0tuDiY8C3ctxq1tqvaCgkFb8cCA/edit?usp=sharing"",""สุรินทร์!M453"")"),0)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IFERROR(__xludf.DUMMYFUNCTION("IMPORTRANGE(""https://docs.google.com/spreadsheets/d/1XL5vhW3sbDhbH9Cz0tuDiY8C3ctxq1tqvaCgkFb8cCA/edit?usp=sharing"",""สุรินทร์!M454"")"),0)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IFERROR(__xludf.DUMMYFUNCTION("IMPORTRANGE(""https://docs.google.com/spreadsheets/d/1XL5vhW3sbDhbH9Cz0tuDiY8C3ctxq1tqvaCgkFb8cCA/edit?usp=sharing"",""สุรินทร์!I455"")"),0)</f>
        <v>0</v>
      </c>
      <c r="J560" s="164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IFERROR(__xludf.DUMMYFUNCTION("IMPORTRANGE(""https://docs.google.com/spreadsheets/d/1XL5vhW3sbDhbH9Cz0tuDiY8C3ctxq1tqvaCgkFb8cCA/edit?usp=sharing"",""สุรินทร์!I456"")"),0)</f>
        <v>0</v>
      </c>
      <c r="J561" s="205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IFERROR(__xludf.DUMMYFUNCTION("IMPORTRANGE(""https://docs.google.com/spreadsheets/d/1XL5vhW3sbDhbH9Cz0tuDiY8C3ctxq1tqvaCgkFb8cCA/edit?usp=sharing"",""สุรินทร์!I457"")"),0)</f>
        <v>0</v>
      </c>
      <c r="J562" s="205" t="str">
        <f ca="1">IFERROR(__xludf.DUMMYFUNCTION("IMPORTRANGE(""https://docs.google.com/spreadsheets/d/1XL5vhW3sbDhbH9Cz0tuDiY8C3ctxq1tqvaCgkFb8cCA/edit?usp=sharing"",""สุรินทร์!J457"")"),"")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IFERROR(__xludf.DUMMYFUNCTION("IMPORTRANGE(""https://docs.google.com/spreadsheets/d/1XL5vhW3sbDhbH9Cz0tuDiY8C3ctxq1tqvaCgkFb8cCA/edit?usp=sharing"",""สุรินทร์!I458"")"),0)</f>
        <v>0</v>
      </c>
      <c r="J563" s="189" t="str">
        <f ca="1">IFERROR(__xludf.DUMMYFUNCTION("IMPORTRANGE(""https://docs.google.com/spreadsheets/d/1XL5vhW3sbDhbH9Cz0tuDiY8C3ctxq1tqvaCgkFb8cCA/edit?usp=sharing"",""สุรินทร์!J458"")"),"")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IFERROR(__xludf.DUMMYFUNCTION("IMPORTRANGE(""https://docs.google.com/spreadsheets/d/1XL5vhW3sbDhbH9Cz0tuDiY8C3ctxq1tqvaCgkFb8cCA/edit?usp=sharing"",""สุรินทร์!J459"")"),3854)</f>
        <v>3854</v>
      </c>
      <c r="K564" s="372">
        <f t="shared" ca="1" si="121"/>
        <v>70.072727272727278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IFERROR(__xludf.DUMMYFUNCTION("IMPORTRANGE(""https://docs.google.com/spreadsheets/d/1XL5vhW3sbDhbH9Cz0tuDiY8C3ctxq1tqvaCgkFb8cCA/edit?usp=sharing"",""สุรินทร์!M459"")"),72270.8)</f>
        <v>72270.8</v>
      </c>
      <c r="O564" s="373">
        <f t="shared" ref="O564:O568" ca="1" si="122">+IF(L564&gt;0,N564*100/L564,0)</f>
        <v>44.283578431372547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IFERROR(__xludf.DUMMYFUNCTION("IMPORTRANGE(""https://docs.google.com/spreadsheets/d/1XL5vhW3sbDhbH9Cz0tuDiY8C3ctxq1tqvaCgkFb8cCA/edit?usp=sharing"",""สุรินทร์!L460"")"),0)</f>
        <v>0</v>
      </c>
      <c r="M565" s="166"/>
      <c r="N565" s="170">
        <f ca="1">IFERROR(__xludf.DUMMYFUNCTION("IMPORTRANGE(""https://docs.google.com/spreadsheets/d/1XL5vhW3sbDhbH9Cz0tuDiY8C3ctxq1tqvaCgkFb8cCA/edit?usp=sharing"",""สุรินทร์!M460"")"),0)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IFERROR(__xludf.DUMMYFUNCTION("IMPORTRANGE(""https://docs.google.com/spreadsheets/d/1XL5vhW3sbDhbH9Cz0tuDiY8C3ctxq1tqvaCgkFb8cCA/edit?usp=sharing"",""สุรินทร์!L461"")"),163200)</f>
        <v>163200</v>
      </c>
      <c r="M566" s="167"/>
      <c r="N566" s="170">
        <f ca="1">IFERROR(__xludf.DUMMYFUNCTION("IMPORTRANGE(""https://docs.google.com/spreadsheets/d/1XL5vhW3sbDhbH9Cz0tuDiY8C3ctxq1tqvaCgkFb8cCA/edit?usp=sharing"",""สุรินทร์!M461"")"),72270.8)</f>
        <v>72270.8</v>
      </c>
      <c r="O566" s="170">
        <f t="shared" ca="1" si="122"/>
        <v>44.283578431372547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IFERROR(__xludf.DUMMYFUNCTION("IMPORTRANGE(""https://docs.google.com/spreadsheets/d/1XL5vhW3sbDhbH9Cz0tuDiY8C3ctxq1tqvaCgkFb8cCA/edit?usp=sharing"",""สุรินทร์!L462"")"),0)</f>
        <v>0</v>
      </c>
      <c r="M567" s="170"/>
      <c r="N567" s="170">
        <f ca="1">IFERROR(__xludf.DUMMYFUNCTION("IMPORTRANGE(""https://docs.google.com/spreadsheets/d/1XL5vhW3sbDhbH9Cz0tuDiY8C3ctxq1tqvaCgkFb8cCA/edit?usp=sharing"",""สุรินทร์!M462"")"),0)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IFERROR(__xludf.DUMMYFUNCTION("IMPORTRANGE(""https://docs.google.com/spreadsheets/d/1XL5vhW3sbDhbH9Cz0tuDiY8C3ctxq1tqvaCgkFb8cCA/edit?usp=sharing"",""สุรินทร์!L463"")"),163200)</f>
        <v>163200</v>
      </c>
      <c r="M568" s="170"/>
      <c r="N568" s="170">
        <f ca="1">IFERROR(__xludf.DUMMYFUNCTION("IMPORTRANGE(""https://docs.google.com/spreadsheets/d/1XL5vhW3sbDhbH9Cz0tuDiY8C3ctxq1tqvaCgkFb8cCA/edit?usp=sharing"",""สุรินทร์!M463"")"),72270.8)</f>
        <v>72270.8</v>
      </c>
      <c r="O568" s="170">
        <f t="shared" ca="1" si="122"/>
        <v>44.283578431372547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IFERROR(__xludf.DUMMYFUNCTION("IMPORTRANGE(""https://docs.google.com/spreadsheets/d/1XL5vhW3sbDhbH9Cz0tuDiY8C3ctxq1tqvaCgkFb8cCA/edit?usp=sharing"",""สุรินทร์!M464"")"),0)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IFERROR(__xludf.DUMMYFUNCTION("IMPORTRANGE(""https://docs.google.com/spreadsheets/d/1XL5vhW3sbDhbH9Cz0tuDiY8C3ctxq1tqvaCgkFb8cCA/edit?usp=sharing"",""สุรินทร์!M465"")"),0)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IFERROR(__xludf.DUMMYFUNCTION("IMPORTRANGE(""https://docs.google.com/spreadsheets/d/1XL5vhW3sbDhbH9Cz0tuDiY8C3ctxq1tqvaCgkFb8cCA/edit?usp=sharing"",""สุรินทร์!M466"")"),51451)</f>
        <v>51451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IFERROR(__xludf.DUMMYFUNCTION("IMPORTRANGE(""https://docs.google.com/spreadsheets/d/1XL5vhW3sbDhbH9Cz0tuDiY8C3ctxq1tqvaCgkFb8cCA/edit?usp=sharing"",""สุรินทร์!M467"")"),20819.8)</f>
        <v>20819.8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IFERROR(__xludf.DUMMYFUNCTION("IMPORTRANGE(""https://docs.google.com/spreadsheets/d/1XL5vhW3sbDhbH9Cz0tuDiY8C3ctxq1tqvaCgkFb8cCA/edit?usp=sharing"",""สุรินทร์!J468"")"),3854)</f>
        <v>3854</v>
      </c>
      <c r="K573" s="203">
        <f ca="1">IF(I573&gt;0,J573*100/I573,0)</f>
        <v>70.072727272727278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IFERROR(__xludf.DUMMYFUNCTION("IMPORTRANGE(""https://docs.google.com/spreadsheets/d/1XL5vhW3sbDhbH9Cz0tuDiY8C3ctxq1tqvaCgkFb8cCA/edit?usp=sharing"",""สุรินทร์!I470"")"),0)</f>
        <v>0</v>
      </c>
      <c r="J575" s="199">
        <f ca="1">IFERROR(__xludf.DUMMYFUNCTION("IMPORTRANGE(""https://docs.google.com/spreadsheets/d/1XL5vhW3sbDhbH9Cz0tuDiY8C3ctxq1tqvaCgkFb8cCA/edit?usp=sharing"",""สุรินทร์!J470"")"),4)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IFERROR(__xludf.DUMMYFUNCTION("IMPORTRANGE(""https://docs.google.com/spreadsheets/d/1XL5vhW3sbDhbH9Cz0tuDiY8C3ctxq1tqvaCgkFb8cCA/edit?usp=sharing"",""สุรินทร์!I471"")"),0)</f>
        <v>0</v>
      </c>
      <c r="J576" s="199">
        <f ca="1">IFERROR(__xludf.DUMMYFUNCTION("IMPORTRANGE(""https://docs.google.com/spreadsheets/d/1XL5vhW3sbDhbH9Cz0tuDiY8C3ctxq1tqvaCgkFb8cCA/edit?usp=sharing"",""สุรินทร์!J471"")"),607)</f>
        <v>607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IFERROR(__xludf.DUMMYFUNCTION("IMPORTRANGE(""https://docs.google.com/spreadsheets/d/1XL5vhW3sbDhbH9Cz0tuDiY8C3ctxq1tqvaCgkFb8cCA/edit?usp=sharing"",""สุรินทร์!I472"")"),0)</f>
        <v>0</v>
      </c>
      <c r="J577" s="190">
        <f ca="1">IFERROR(__xludf.DUMMYFUNCTION("IMPORTRANGE(""https://docs.google.com/spreadsheets/d/1XL5vhW3sbDhbH9Cz0tuDiY8C3ctxq1tqvaCgkFb8cCA/edit?usp=sharing"",""สุรินทร์!J472"")"),3247)</f>
        <v>3247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IFERROR(__xludf.DUMMYFUNCTION("IMPORTRANGE(""https://docs.google.com/spreadsheets/d/1XL5vhW3sbDhbH9Cz0tuDiY8C3ctxq1tqvaCgkFb8cCA/edit?usp=sharing"",""สุรินทร์!I473"")"),0)</f>
        <v>0</v>
      </c>
      <c r="J578" s="199">
        <f ca="1">IFERROR(__xludf.DUMMYFUNCTION("IMPORTRANGE(""https://docs.google.com/spreadsheets/d/1XL5vhW3sbDhbH9Cz0tuDiY8C3ctxq1tqvaCgkFb8cCA/edit?usp=sharing"",""สุรินทร์!J473"")"),0)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IFERROR(__xludf.DUMMYFUNCTION("IMPORTRANGE(""https://docs.google.com/spreadsheets/d/1XL5vhW3sbDhbH9Cz0tuDiY8C3ctxq1tqvaCgkFb8cCA/edit?usp=sharing"",""สุรินทร์!I474"")"),0)</f>
        <v>0</v>
      </c>
      <c r="J579" s="199">
        <f ca="1">IFERROR(__xludf.DUMMYFUNCTION("IMPORTRANGE(""https://docs.google.com/spreadsheets/d/1XL5vhW3sbDhbH9Cz0tuDiY8C3ctxq1tqvaCgkFb8cCA/edit?usp=sharing"",""สุรินทร์!J474"")"),0)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IFERROR(__xludf.DUMMYFUNCTION("IMPORTRANGE(""https://docs.google.com/spreadsheets/d/1XL5vhW3sbDhbH9Cz0tuDiY8C3ctxq1tqvaCgkFb8cCA/edit?usp=sharing"",""สุรินทร์!J475"")"),3)</f>
        <v>3</v>
      </c>
      <c r="K580" s="372">
        <f ca="1">IF(I580&gt;0,J580*100/I580,0)</f>
        <v>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IFERROR(__xludf.DUMMYFUNCTION("IMPORTRANGE(""https://docs.google.com/spreadsheets/d/1XL5vhW3sbDhbH9Cz0tuDiY8C3ctxq1tqvaCgkFb8cCA/edit?usp=sharing"",""สุรินทร์!M475"")"),80715)</f>
        <v>80715</v>
      </c>
      <c r="O580" s="373">
        <f t="shared" ref="O580:O584" ca="1" si="124">+IF(L580&gt;0,N580*100/L580,0)</f>
        <v>25.097947761194028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IFERROR(__xludf.DUMMYFUNCTION("IMPORTRANGE(""https://docs.google.com/spreadsheets/d/1XL5vhW3sbDhbH9Cz0tuDiY8C3ctxq1tqvaCgkFb8cCA/edit?usp=sharing"",""สุรินทร์!L476"")"),0)</f>
        <v>0</v>
      </c>
      <c r="M581" s="166"/>
      <c r="N581" s="170">
        <f ca="1">IFERROR(__xludf.DUMMYFUNCTION("IMPORTRANGE(""https://docs.google.com/spreadsheets/d/1XL5vhW3sbDhbH9Cz0tuDiY8C3ctxq1tqvaCgkFb8cCA/edit?usp=sharing"",""สุรินทร์!M476"")"),0)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IFERROR(__xludf.DUMMYFUNCTION("IMPORTRANGE(""https://docs.google.com/spreadsheets/d/1XL5vhW3sbDhbH9Cz0tuDiY8C3ctxq1tqvaCgkFb8cCA/edit?usp=sharing"",""สุรินทร์!L477"")"),321600)</f>
        <v>321600</v>
      </c>
      <c r="M582" s="167"/>
      <c r="N582" s="170">
        <f ca="1">IFERROR(__xludf.DUMMYFUNCTION("IMPORTRANGE(""https://docs.google.com/spreadsheets/d/1XL5vhW3sbDhbH9Cz0tuDiY8C3ctxq1tqvaCgkFb8cCA/edit?usp=sharing"",""สุรินทร์!M477"")"),80715)</f>
        <v>80715</v>
      </c>
      <c r="O582" s="170">
        <f t="shared" ca="1" si="124"/>
        <v>25.097947761194028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IFERROR(__xludf.DUMMYFUNCTION("IMPORTRANGE(""https://docs.google.com/spreadsheets/d/1XL5vhW3sbDhbH9Cz0tuDiY8C3ctxq1tqvaCgkFb8cCA/edit?usp=sharing"",""สุรินทร์!L478"")"),0)</f>
        <v>0</v>
      </c>
      <c r="M583" s="170"/>
      <c r="N583" s="170">
        <f ca="1">IFERROR(__xludf.DUMMYFUNCTION("IMPORTRANGE(""https://docs.google.com/spreadsheets/d/1XL5vhW3sbDhbH9Cz0tuDiY8C3ctxq1tqvaCgkFb8cCA/edit?usp=sharing"",""สุรินทร์!M478"")"),0)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IFERROR(__xludf.DUMMYFUNCTION("IMPORTRANGE(""https://docs.google.com/spreadsheets/d/1XL5vhW3sbDhbH9Cz0tuDiY8C3ctxq1tqvaCgkFb8cCA/edit?usp=sharing"",""สุรินทร์!L479"")"),321600)</f>
        <v>321600</v>
      </c>
      <c r="M584" s="170"/>
      <c r="N584" s="170">
        <f ca="1">IFERROR(__xludf.DUMMYFUNCTION("IMPORTRANGE(""https://docs.google.com/spreadsheets/d/1XL5vhW3sbDhbH9Cz0tuDiY8C3ctxq1tqvaCgkFb8cCA/edit?usp=sharing"",""สุรินทร์!M479"")"),80715)</f>
        <v>80715</v>
      </c>
      <c r="O584" s="170">
        <f t="shared" ca="1" si="124"/>
        <v>25.097947761194028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IFERROR(__xludf.DUMMYFUNCTION("IMPORTRANGE(""https://docs.google.com/spreadsheets/d/1XL5vhW3sbDhbH9Cz0tuDiY8C3ctxq1tqvaCgkFb8cCA/edit?usp=sharing"",""สุรินทร์!M480"")"),0)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IFERROR(__xludf.DUMMYFUNCTION("IMPORTRANGE(""https://docs.google.com/spreadsheets/d/1XL5vhW3sbDhbH9Cz0tuDiY8C3ctxq1tqvaCgkFb8cCA/edit?usp=sharing"",""สุรินทร์!M481"")"),0)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IFERROR(__xludf.DUMMYFUNCTION("IMPORTRANGE(""https://docs.google.com/spreadsheets/d/1XL5vhW3sbDhbH9Cz0tuDiY8C3ctxq1tqvaCgkFb8cCA/edit?usp=sharing"",""สุรินทร์!M482"")"),53935)</f>
        <v>53935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IFERROR(__xludf.DUMMYFUNCTION("IMPORTRANGE(""https://docs.google.com/spreadsheets/d/1XL5vhW3sbDhbH9Cz0tuDiY8C3ctxq1tqvaCgkFb8cCA/edit?usp=sharing"",""สุรินทร์!M483"")"),26780)</f>
        <v>26780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IFERROR(__xludf.DUMMYFUNCTION("IMPORTRANGE(""https://docs.google.com/spreadsheets/d/1XL5vhW3sbDhbH9Cz0tuDiY8C3ctxq1tqvaCgkFb8cCA/edit?usp=sharing"",""สุรินทร์!I484"")"),100)</f>
        <v>100</v>
      </c>
      <c r="J589" s="189">
        <f ca="1">IFERROR(__xludf.DUMMYFUNCTION("IMPORTRANGE(""https://docs.google.com/spreadsheets/d/1XL5vhW3sbDhbH9Cz0tuDiY8C3ctxq1tqvaCgkFb8cCA/edit?usp=sharing"",""สุรินทร์!J484"")"),38)</f>
        <v>38</v>
      </c>
      <c r="K589" s="165">
        <f t="shared" ref="K589:K596" ca="1" si="125">IF(I589&gt;0,J589*100/I589,0)</f>
        <v>38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9">
        <f ca="1">IFERROR(__xludf.DUMMYFUNCTION("IMPORTRANGE(""https://docs.google.com/spreadsheets/d/1XL5vhW3sbDhbH9Cz0tuDiY8C3ctxq1tqvaCgkFb8cCA/edit?usp=sharing"",""สุรินทร์!J485"")"),40.14)</f>
        <v>40.14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IFERROR(__xludf.DUMMYFUNCTION("IMPORTRANGE(""https://docs.google.com/spreadsheets/d/1XL5vhW3sbDhbH9Cz0tuDiY8C3ctxq1tqvaCgkFb8cCA/edit?usp=sharing"",""สุรินทร์!I486"")"),100)</f>
        <v>100</v>
      </c>
      <c r="J591" s="189">
        <f ca="1">IFERROR(__xludf.DUMMYFUNCTION("IMPORTRANGE(""https://docs.google.com/spreadsheets/d/1XL5vhW3sbDhbH9Cz0tuDiY8C3ctxq1tqvaCgkFb8cCA/edit?usp=sharing"",""สุรินทร์!J486"")"),0)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9">
        <f ca="1">IFERROR(__xludf.DUMMYFUNCTION("IMPORTRANGE(""https://docs.google.com/spreadsheets/d/1XL5vhW3sbDhbH9Cz0tuDiY8C3ctxq1tqvaCgkFb8cCA/edit?usp=sharing"",""สุรินทร์!J487"")"),0)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IFERROR(__xludf.DUMMYFUNCTION("IMPORTRANGE(""https://docs.google.com/spreadsheets/d/1XL5vhW3sbDhbH9Cz0tuDiY8C3ctxq1tqvaCgkFb8cCA/edit?usp=sharing"",""สุรินทร์!I488"")"),100)</f>
        <v>100</v>
      </c>
      <c r="J593" s="189">
        <f ca="1">IFERROR(__xludf.DUMMYFUNCTION("IMPORTRANGE(""https://docs.google.com/spreadsheets/d/1XL5vhW3sbDhbH9Cz0tuDiY8C3ctxq1tqvaCgkFb8cCA/edit?usp=sharing"",""สุรินทร์!J488"")"),0)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9">
        <f ca="1">IFERROR(__xludf.DUMMYFUNCTION("IMPORTRANGE(""https://docs.google.com/spreadsheets/d/1XL5vhW3sbDhbH9Cz0tuDiY8C3ctxq1tqvaCgkFb8cCA/edit?usp=sharing"",""สุรินทร์!J489"")"),0)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IFERROR(__xludf.DUMMYFUNCTION("IMPORTRANGE(""https://docs.google.com/spreadsheets/d/1XL5vhW3sbDhbH9Cz0tuDiY8C3ctxq1tqvaCgkFb8cCA/edit?usp=sharing"",""สุรินทร์!I490"")"),100)</f>
        <v>100</v>
      </c>
      <c r="J595" s="189">
        <f ca="1">IFERROR(__xludf.DUMMYFUNCTION("IMPORTRANGE(""https://docs.google.com/spreadsheets/d/1XL5vhW3sbDhbH9Cz0tuDiY8C3ctxq1tqvaCgkFb8cCA/edit?usp=sharing"",""สุรินทร์!J490"")"),3)</f>
        <v>3</v>
      </c>
      <c r="K595" s="165">
        <f t="shared" ca="1" si="125"/>
        <v>3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IFERROR(__xludf.DUMMYFUNCTION("IMPORTRANGE(""https://docs.google.com/spreadsheets/d/1XL5vhW3sbDhbH9Cz0tuDiY8C3ctxq1tqvaCgkFb8cCA/edit?usp=sharing"",""สุรินทร์!J491"")"),6.12)</f>
        <v>6.12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7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IFERROR(__xludf.DUMMYFUNCTION("IMPORTRANGE(""https://docs.google.com/spreadsheets/d/1XL5vhW3sbDhbH9Cz0tuDiY8C3ctxq1tqvaCgkFb8cCA/edit?usp=sharing"",""สุรินทร์!M492"")"),4800)</f>
        <v>4800</v>
      </c>
      <c r="O597" s="412">
        <f t="shared" ref="O597:O601" ca="1" si="126">+IF(L597&gt;0,N597*100/L597,0)</f>
        <v>22.222222222222221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IFERROR(__xludf.DUMMYFUNCTION("IMPORTRANGE(""https://docs.google.com/spreadsheets/d/1XL5vhW3sbDhbH9Cz0tuDiY8C3ctxq1tqvaCgkFb8cCA/edit?usp=sharing"",""สุรินทร์!L493"")"),0)</f>
        <v>0</v>
      </c>
      <c r="M598" s="166"/>
      <c r="N598" s="170">
        <f ca="1">IFERROR(__xludf.DUMMYFUNCTION("IMPORTRANGE(""https://docs.google.com/spreadsheets/d/1XL5vhW3sbDhbH9Cz0tuDiY8C3ctxq1tqvaCgkFb8cCA/edit?usp=sharing"",""สุรินทร์!M493"")"),0)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IFERROR(__xludf.DUMMYFUNCTION("IMPORTRANGE(""https://docs.google.com/spreadsheets/d/1XL5vhW3sbDhbH9Cz0tuDiY8C3ctxq1tqvaCgkFb8cCA/edit?usp=sharing"",""สุรินทร์!L494"")"),21600)</f>
        <v>21600</v>
      </c>
      <c r="M599" s="167"/>
      <c r="N599" s="170">
        <f ca="1">IFERROR(__xludf.DUMMYFUNCTION("IMPORTRANGE(""https://docs.google.com/spreadsheets/d/1XL5vhW3sbDhbH9Cz0tuDiY8C3ctxq1tqvaCgkFb8cCA/edit?usp=sharing"",""สุรินทร์!M494"")"),4800)</f>
        <v>4800</v>
      </c>
      <c r="O599" s="170">
        <f t="shared" ca="1" si="126"/>
        <v>22.222222222222221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IFERROR(__xludf.DUMMYFUNCTION("IMPORTRANGE(""https://docs.google.com/spreadsheets/d/1XL5vhW3sbDhbH9Cz0tuDiY8C3ctxq1tqvaCgkFb8cCA/edit?usp=sharing"",""สุรินทร์!L495"")"),0)</f>
        <v>0</v>
      </c>
      <c r="M600" s="170"/>
      <c r="N600" s="170">
        <f ca="1">IFERROR(__xludf.DUMMYFUNCTION("IMPORTRANGE(""https://docs.google.com/spreadsheets/d/1XL5vhW3sbDhbH9Cz0tuDiY8C3ctxq1tqvaCgkFb8cCA/edit?usp=sharing"",""สุรินทร์!M495"")"),0)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IFERROR(__xludf.DUMMYFUNCTION("IMPORTRANGE(""https://docs.google.com/spreadsheets/d/1XL5vhW3sbDhbH9Cz0tuDiY8C3ctxq1tqvaCgkFb8cCA/edit?usp=sharing"",""สุรินทร์!L496"")"),21600)</f>
        <v>21600</v>
      </c>
      <c r="M601" s="170"/>
      <c r="N601" s="170">
        <f ca="1">IFERROR(__xludf.DUMMYFUNCTION("IMPORTRANGE(""https://docs.google.com/spreadsheets/d/1XL5vhW3sbDhbH9Cz0tuDiY8C3ctxq1tqvaCgkFb8cCA/edit?usp=sharing"",""สุรินทร์!M496"")"),4800)</f>
        <v>4800</v>
      </c>
      <c r="O601" s="170">
        <f t="shared" ca="1" si="126"/>
        <v>22.222222222222221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IFERROR(__xludf.DUMMYFUNCTION("IMPORTRANGE(""https://docs.google.com/spreadsheets/d/1XL5vhW3sbDhbH9Cz0tuDiY8C3ctxq1tqvaCgkFb8cCA/edit?usp=sharing"",""สุรินทร์!M497"")"),0)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IFERROR(__xludf.DUMMYFUNCTION("IMPORTRANGE(""https://docs.google.com/spreadsheets/d/1XL5vhW3sbDhbH9Cz0tuDiY8C3ctxq1tqvaCgkFb8cCA/edit?usp=sharing"",""สุรินทร์!M498"")"),0)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IFERROR(__xludf.DUMMYFUNCTION("IMPORTRANGE(""https://docs.google.com/spreadsheets/d/1XL5vhW3sbDhbH9Cz0tuDiY8C3ctxq1tqvaCgkFb8cCA/edit?usp=sharing"",""สุรินทร์!M500"")"),4800)</f>
        <v>4800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IFERROR(__xludf.DUMMYFUNCTION("IMPORTRANGE(""https://docs.google.com/spreadsheets/d/1XL5vhW3sbDhbH9Cz0tuDiY8C3ctxq1tqvaCgkFb8cCA/edit?usp=sharing"",""สุรินทร์!J502"")"),0)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IFERROR(__xludf.DUMMYFUNCTION("IMPORTRANGE(""https://docs.google.com/spreadsheets/d/1XL5vhW3sbDhbH9Cz0tuDiY8C3ctxq1tqvaCgkFb8cCA/edit?usp=sharing"",""สุรินทร์!J503"")"),1)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IFERROR(__xludf.DUMMYFUNCTION("IMPORTRANGE(""https://docs.google.com/spreadsheets/d/1XL5vhW3sbDhbH9Cz0tuDiY8C3ctxq1tqvaCgkFb8cCA/edit?usp=sharing"",""สุรินทร์!J166"")"),0)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IFERROR(__xludf.DUMMYFUNCTION("IMPORTRANGE(""https://docs.google.com/spreadsheets/d/1XL5vhW3sbDhbH9Cz0tuDiY8C3ctxq1tqvaCgkFb8cCA/edit?usp=sharing"",""สุรินทร์!J166"")"),0)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IFERROR(__xludf.DUMMYFUNCTION("IMPORTRANGE(""https://docs.google.com/spreadsheets/d/1XL5vhW3sbDhbH9Cz0tuDiY8C3ctxq1tqvaCgkFb8cCA/edit?usp=sharing"",""สุรินทร์!I506"")"),200)</f>
        <v>200</v>
      </c>
      <c r="J611" s="164">
        <f ca="1">IFERROR(__xludf.DUMMYFUNCTION("IMPORTRANGE(""https://docs.google.com/spreadsheets/d/1XL5vhW3sbDhbH9Cz0tuDiY8C3ctxq1tqvaCgkFb8cCA/edit?usp=sharing"",""สุรินทร์!J506"")"),0)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IFERROR(__xludf.DUMMYFUNCTION("IMPORTRANGE(""https://docs.google.com/spreadsheets/d/1XL5vhW3sbDhbH9Cz0tuDiY8C3ctxq1tqvaCgkFb8cCA/edit?usp=sharing"",""สุรินทร์!I507"")"),0)</f>
        <v>0</v>
      </c>
      <c r="J612" s="199">
        <f ca="1">IFERROR(__xludf.DUMMYFUNCTION("IMPORTRANGE(""https://docs.google.com/spreadsheets/d/1XL5vhW3sbDhbH9Cz0tuDiY8C3ctxq1tqvaCgkFb8cCA/edit?usp=sharing"",""สุรินทร์!J507"")"),129)</f>
        <v>129</v>
      </c>
      <c r="K612" s="165">
        <f t="shared" ca="1" si="127"/>
        <v>64.5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IFERROR(__xludf.DUMMYFUNCTION("IMPORTRANGE(""https://docs.google.com/spreadsheets/d/1XL5vhW3sbDhbH9Cz0tuDiY8C3ctxq1tqvaCgkFb8cCA/edit?usp=sharing"",""สุรินทร์!I508"")"),0)</f>
        <v>0</v>
      </c>
      <c r="J613" s="199">
        <f ca="1">IFERROR(__xludf.DUMMYFUNCTION("IMPORTRANGE(""https://docs.google.com/spreadsheets/d/1XL5vhW3sbDhbH9Cz0tuDiY8C3ctxq1tqvaCgkFb8cCA/edit?usp=sharing"",""สุรินทร์!J508"")"),0)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IFERROR(__xludf.DUMMYFUNCTION("IMPORTRANGE(""https://docs.google.com/spreadsheets/d/1XL5vhW3sbDhbH9Cz0tuDiY8C3ctxq1tqvaCgkFb8cCA/edit?usp=sharing"",""สุรินทร์!I509"")"),0)</f>
        <v>0</v>
      </c>
      <c r="J614" s="199">
        <f ca="1">IFERROR(__xludf.DUMMYFUNCTION("IMPORTRANGE(""https://docs.google.com/spreadsheets/d/1XL5vhW3sbDhbH9Cz0tuDiY8C3ctxq1tqvaCgkFb8cCA/edit?usp=sharing"",""สุรินทร์!J509"")"),0)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IFERROR(__xludf.DUMMYFUNCTION("IMPORTRANGE(""https://docs.google.com/spreadsheets/d/1XL5vhW3sbDhbH9Cz0tuDiY8C3ctxq1tqvaCgkFb8cCA/edit?usp=sharing"",""สุรินทร์!I510"")"),0)</f>
        <v>0</v>
      </c>
      <c r="J615" s="199">
        <f ca="1">IFERROR(__xludf.DUMMYFUNCTION("IMPORTRANGE(""https://docs.google.com/spreadsheets/d/1XL5vhW3sbDhbH9Cz0tuDiY8C3ctxq1tqvaCgkFb8cCA/edit?usp=sharing"",""สุรินทร์!J510"")"),0)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IFERROR(__xludf.DUMMYFUNCTION("IMPORTRANGE(""https://docs.google.com/spreadsheets/d/1XL5vhW3sbDhbH9Cz0tuDiY8C3ctxq1tqvaCgkFb8cCA/edit?usp=sharing"",""สุรินทร์!I511"")"),0)</f>
        <v>0</v>
      </c>
      <c r="J616" s="199">
        <f ca="1">IFERROR(__xludf.DUMMYFUNCTION("IMPORTRANGE(""https://docs.google.com/spreadsheets/d/1XL5vhW3sbDhbH9Cz0tuDiY8C3ctxq1tqvaCgkFb8cCA/edit?usp=sharing"",""สุรินทร์!J511"")"),0)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IFERROR(__xludf.DUMMYFUNCTION("IMPORTRANGE(""https://docs.google.com/spreadsheets/d/1XL5vhW3sbDhbH9Cz0tuDiY8C3ctxq1tqvaCgkFb8cCA/edit?usp=sharing"",""สุรินทร์!I512"")"),0)</f>
        <v>0</v>
      </c>
      <c r="J617" s="189">
        <f ca="1">IFERROR(__xludf.DUMMYFUNCTION("IMPORTRANGE(""https://docs.google.com/spreadsheets/d/1XL5vhW3sbDhbH9Cz0tuDiY8C3ctxq1tqvaCgkFb8cCA/edit?usp=sharing"",""สุรินทร์!J512"")"),0)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IFERROR(__xludf.DUMMYFUNCTION("IMPORTRANGE(""https://docs.google.com/spreadsheets/d/1XL5vhW3sbDhbH9Cz0tuDiY8C3ctxq1tqvaCgkFb8cCA/edit?usp=sharing"",""สุรินทร์!I513"")"),0)</f>
        <v>0</v>
      </c>
      <c r="J618" s="190">
        <f ca="1">IFERROR(__xludf.DUMMYFUNCTION("IMPORTRANGE(""https://docs.google.com/spreadsheets/d/1XL5vhW3sbDhbH9Cz0tuDiY8C3ctxq1tqvaCgkFb8cCA/edit?usp=sharing"",""สุรินทร์!J513"")"),0)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IFERROR(__xludf.DUMMYFUNCTION("IMPORTRANGE(""https://docs.google.com/spreadsheets/d/1XL5vhW3sbDhbH9Cz0tuDiY8C3ctxq1tqvaCgkFb8cCA/edit?usp=sharing"",""สุรินทร์!I514"")"),0)</f>
        <v>0</v>
      </c>
      <c r="J619" s="190">
        <f ca="1">IFERROR(__xludf.DUMMYFUNCTION("IMPORTRANGE(""https://docs.google.com/spreadsheets/d/1XL5vhW3sbDhbH9Cz0tuDiY8C3ctxq1tqvaCgkFb8cCA/edit?usp=sharing"",""สุรินทร์!J514"")"),0)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IFERROR(__xludf.DUMMYFUNCTION("IMPORTRANGE(""https://docs.google.com/spreadsheets/d/1XL5vhW3sbDhbH9Cz0tuDiY8C3ctxq1tqvaCgkFb8cCA/edit?usp=sharing"",""สุรินทร์!I515"")"),48)</f>
        <v>48</v>
      </c>
      <c r="J620" s="204">
        <f ca="1">IFERROR(__xludf.DUMMYFUNCTION("IMPORTRANGE(""https://docs.google.com/spreadsheets/d/1XL5vhW3sbDhbH9Cz0tuDiY8C3ctxq1tqvaCgkFb8cCA/edit?usp=sharing"",""สุรินทร์!J515"")"),0)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IFERROR(__xludf.DUMMYFUNCTION("IMPORTRANGE(""https://docs.google.com/spreadsheets/d/1XL5vhW3sbDhbH9Cz0tuDiY8C3ctxq1tqvaCgkFb8cCA/edit?usp=sharing"",""สุรินทร์!I516"")"),0)</f>
        <v>0</v>
      </c>
      <c r="J621" s="204">
        <f ca="1">IFERROR(__xludf.DUMMYFUNCTION("IMPORTRANGE(""https://docs.google.com/spreadsheets/d/1XL5vhW3sbDhbH9Cz0tuDiY8C3ctxq1tqvaCgkFb8cCA/edit?usp=sharing"",""สุรินทร์!J516"")"),0)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IFERROR(__xludf.DUMMYFUNCTION("IMPORTRANGE(""https://docs.google.com/spreadsheets/d/1XL5vhW3sbDhbH9Cz0tuDiY8C3ctxq1tqvaCgkFb8cCA/edit?usp=sharing"",""สุรินทร์!I517"")"),0)</f>
        <v>0</v>
      </c>
      <c r="J622" s="190">
        <f ca="1">IFERROR(__xludf.DUMMYFUNCTION("IMPORTRANGE(""https://docs.google.com/spreadsheets/d/1XL5vhW3sbDhbH9Cz0tuDiY8C3ctxq1tqvaCgkFb8cCA/edit?usp=sharing"",""สุรินทร์!J517"")"),0)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IFERROR(__xludf.DUMMYFUNCTION("IMPORTRANGE(""https://docs.google.com/spreadsheets/d/1XL5vhW3sbDhbH9Cz0tuDiY8C3ctxq1tqvaCgkFb8cCA/edit?usp=sharing"",""สุรินทร์!I518"")"),0)</f>
        <v>0</v>
      </c>
      <c r="J623" s="190">
        <f ca="1">IFERROR(__xludf.DUMMYFUNCTION("IMPORTRANGE(""https://docs.google.com/spreadsheets/d/1XL5vhW3sbDhbH9Cz0tuDiY8C3ctxq1tqvaCgkFb8cCA/edit?usp=sharing"",""สุรินทร์!J518"")"),0)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IFERROR(__xludf.DUMMYFUNCTION("IMPORTRANGE(""https://docs.google.com/spreadsheets/d/1XL5vhW3sbDhbH9Cz0tuDiY8C3ctxq1tqvaCgkFb8cCA/edit?usp=sharing"",""สุรินทร์!I519"")"),0)</f>
        <v>0</v>
      </c>
      <c r="J624" s="189">
        <f ca="1">IFERROR(__xludf.DUMMYFUNCTION("IMPORTRANGE(""https://docs.google.com/spreadsheets/d/1XL5vhW3sbDhbH9Cz0tuDiY8C3ctxq1tqvaCgkFb8cCA/edit?usp=sharing"",""สุรินทร์!J519"")"),0)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IFERROR(__xludf.DUMMYFUNCTION("IMPORTRANGE(""https://docs.google.com/spreadsheets/d/1XL5vhW3sbDhbH9Cz0tuDiY8C3ctxq1tqvaCgkFb8cCA/edit?usp=sharing"",""สุรินทร์!I520"")"),0)</f>
        <v>0</v>
      </c>
      <c r="J625" s="190">
        <f ca="1">IFERROR(__xludf.DUMMYFUNCTION("IMPORTRANGE(""https://docs.google.com/spreadsheets/d/1XL5vhW3sbDhbH9Cz0tuDiY8C3ctxq1tqvaCgkFb8cCA/edit?usp=sharing"",""สุรินทร์!J520"")"),0)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IFERROR(__xludf.DUMMYFUNCTION("IMPORTRANGE(""https://docs.google.com/spreadsheets/d/1XL5vhW3sbDhbH9Cz0tuDiY8C3ctxq1tqvaCgkFb8cCA/edit?usp=sharing"",""สุรินทร์!I521"")"),0)</f>
        <v>0</v>
      </c>
      <c r="J626" s="190">
        <f ca="1">IFERROR(__xludf.DUMMYFUNCTION("IMPORTRANGE(""https://docs.google.com/spreadsheets/d/1XL5vhW3sbDhbH9Cz0tuDiY8C3ctxq1tqvaCgkFb8cCA/edit?usp=sharing"",""สุรินทร์!J521"")"),0)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1">
        <f ca="1">IFERROR(__xludf.DUMMYFUNCTION("IMPORTRANGE(""https://docs.google.com/spreadsheets/d/1XL5vhW3sbDhbH9Cz0tuDiY8C3ctxq1tqvaCgkFb8cCA/edit?usp=sharing"",""สุรินทร์!J523"")"),2576038.86)</f>
        <v>2576038.86</v>
      </c>
      <c r="K628" s="342">
        <f t="shared" ref="K628:K635" ca="1" si="129">IF(I628&gt;0,J628*100/I628,0)</f>
        <v>45.637737814690794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IFERROR(__xludf.DUMMYFUNCTION("IMPORTRANGE(""https://docs.google.com/spreadsheets/d/1XL5vhW3sbDhbH9Cz0tuDiY8C3ctxq1tqvaCgkFb8cCA/edit?usp=sharing"",""สุรินทร์!I524"")"),315)</f>
        <v>315</v>
      </c>
      <c r="J629" s="341">
        <f ca="1">IFERROR(__xludf.DUMMYFUNCTION("IMPORTRANGE(""https://docs.google.com/spreadsheets/d/1XL5vhW3sbDhbH9Cz0tuDiY8C3ctxq1tqvaCgkFb8cCA/edit?usp=sharing"",""สุรินทร์!J524"")"),139)</f>
        <v>139</v>
      </c>
      <c r="K629" s="342">
        <f t="shared" ca="1" si="129"/>
        <v>44.126984126984127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1">
        <f ca="1">IFERROR(__xludf.DUMMYFUNCTION("IMPORTRANGE(""https://docs.google.com/spreadsheets/d/1XL5vhW3sbDhbH9Cz0tuDiY8C3ctxq1tqvaCgkFb8cCA/edit?usp=sharing"",""สุรินทร์!J525"")"),215816.22)</f>
        <v>215816.22</v>
      </c>
      <c r="K630" s="342">
        <f t="shared" ca="1" si="129"/>
        <v>3.2278459236814738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IFERROR(__xludf.DUMMYFUNCTION("IMPORTRANGE(""https://docs.google.com/spreadsheets/d/1XL5vhW3sbDhbH9Cz0tuDiY8C3ctxq1tqvaCgkFb8cCA/edit?usp=sharing"",""สุรินทร์!I526"")"),420)</f>
        <v>420</v>
      </c>
      <c r="J631" s="341">
        <f ca="1">IFERROR(__xludf.DUMMYFUNCTION("IMPORTRANGE(""https://docs.google.com/spreadsheets/d/1XL5vhW3sbDhbH9Cz0tuDiY8C3ctxq1tqvaCgkFb8cCA/edit?usp=sharing"",""สุรินทร์!J526"")"),48)</f>
        <v>48</v>
      </c>
      <c r="K631" s="342">
        <f t="shared" ca="1" si="129"/>
        <v>11.428571428571429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IFERROR(__xludf.DUMMYFUNCTION("IMPORTRANGE(""https://docs.google.com/spreadsheets/d/1XL5vhW3sbDhbH9Cz0tuDiY8C3ctxq1tqvaCgkFb8cCA/edit?usp=sharing"",""สุรินทร์!I527"")"),0)</f>
        <v>0</v>
      </c>
      <c r="J632" s="341">
        <f ca="1">IFERROR(__xludf.DUMMYFUNCTION("IMPORTRANGE(""https://docs.google.com/spreadsheets/d/1XL5vhW3sbDhbH9Cz0tuDiY8C3ctxq1tqvaCgkFb8cCA/edit?usp=sharing"",""สุรินทร์!J527"")"),195792.01)</f>
        <v>195792.01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IFERROR(__xludf.DUMMYFUNCTION("IMPORTRANGE(""https://docs.google.com/spreadsheets/d/1XL5vhW3sbDhbH9Cz0tuDiY8C3ctxq1tqvaCgkFb8cCA/edit?usp=sharing"",""สุรินทร์!I528"")"),0)</f>
        <v>0</v>
      </c>
      <c r="J633" s="341">
        <f ca="1">IFERROR(__xludf.DUMMYFUNCTION("IMPORTRANGE(""https://docs.google.com/spreadsheets/d/1XL5vhW3sbDhbH9Cz0tuDiY8C3ctxq1tqvaCgkFb8cCA/edit?usp=sharing"",""สุรินทร์!J528"")"),15)</f>
        <v>15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IFERROR(__xludf.DUMMYFUNCTION("IMPORTRANGE(""https://docs.google.com/spreadsheets/d/1XL5vhW3sbDhbH9Cz0tuDiY8C3ctxq1tqvaCgkFb8cCA/edit?usp=sharing"",""สุรินทร์!I529"")"),5000000)</f>
        <v>5000000</v>
      </c>
      <c r="J634" s="341">
        <f ca="1">IFERROR(__xludf.DUMMYFUNCTION("IMPORTRANGE(""https://docs.google.com/spreadsheets/d/1XL5vhW3sbDhbH9Cz0tuDiY8C3ctxq1tqvaCgkFb8cCA/edit?usp=sharing"",""สุรินทร์!J529"")"),0)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IFERROR(__xludf.DUMMYFUNCTION("IMPORTRANGE(""https://docs.google.com/spreadsheets/d/1XL5vhW3sbDhbH9Cz0tuDiY8C3ctxq1tqvaCgkFb8cCA/edit?usp=sharing"",""สุรินทร์!I530"")"),250)</f>
        <v>250</v>
      </c>
      <c r="J635" s="504">
        <f ca="1">IFERROR(__xludf.DUMMYFUNCTION("IMPORTRANGE(""https://docs.google.com/spreadsheets/d/1XL5vhW3sbDhbH9Cz0tuDiY8C3ctxq1tqvaCgkFb8cCA/edit?usp=sharing"",""สุรินทร์!J530"")"),0)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268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6819951</v>
      </c>
      <c r="M8" s="23">
        <f t="shared" ca="1" si="0"/>
        <v>2559280</v>
      </c>
      <c r="N8" s="23">
        <f t="shared" ca="1" si="0"/>
        <v>2934646.16</v>
      </c>
      <c r="O8" s="22">
        <f t="shared" ref="O8:O16" ca="1" si="1">IF(L8&gt;0,N8*100/L8,0)</f>
        <v>43.03031150810321</v>
      </c>
      <c r="P8" s="22">
        <f t="shared" ref="P8:P16" ca="1" si="2">IF(M8&gt;0,N8*100/M8,0)</f>
        <v>114.66686568097278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6819951</v>
      </c>
      <c r="M10" s="30">
        <f t="shared" ca="1" si="4"/>
        <v>2559280</v>
      </c>
      <c r="N10" s="30">
        <f t="shared" ca="1" si="4"/>
        <v>2934646.16</v>
      </c>
      <c r="O10" s="29">
        <f t="shared" ca="1" si="1"/>
        <v>43.03031150810321</v>
      </c>
      <c r="P10" s="29">
        <f t="shared" ca="1" si="2"/>
        <v>114.66686568097278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6353151</v>
      </c>
      <c r="M12" s="38">
        <f t="shared" ca="1" si="6"/>
        <v>2092480</v>
      </c>
      <c r="N12" s="38">
        <f t="shared" ca="1" si="6"/>
        <v>2467846.16</v>
      </c>
      <c r="O12" s="38">
        <f t="shared" ca="1" si="1"/>
        <v>38.844443646939922</v>
      </c>
      <c r="P12" s="38">
        <f t="shared" ca="1" si="2"/>
        <v>117.93881709741551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4101751</v>
      </c>
      <c r="M14" s="38">
        <f t="shared" si="8"/>
        <v>0</v>
      </c>
      <c r="N14" s="38">
        <f t="shared" ca="1" si="8"/>
        <v>734638.16</v>
      </c>
      <c r="O14" s="38">
        <f t="shared" ca="1" si="1"/>
        <v>17.910354870395594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2559280</v>
      </c>
      <c r="N18" s="23">
        <f t="shared" ca="1" si="11"/>
        <v>2200008</v>
      </c>
      <c r="O18" s="22">
        <f t="shared" ref="O18:O20" ca="1" si="12">IF(L18&gt;0,N18*100/L18,0)</f>
        <v>51.436968316111752</v>
      </c>
      <c r="P18" s="22">
        <f t="shared" ref="P18:P26" ca="1" si="13">IF(M18&gt;0,N18*100/M18,0)</f>
        <v>85.961989309493291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2559280</v>
      </c>
      <c r="N20" s="30">
        <f t="shared" ca="1" si="15"/>
        <v>2200008</v>
      </c>
      <c r="O20" s="29">
        <f t="shared" ca="1" si="12"/>
        <v>51.436968316111752</v>
      </c>
      <c r="P20" s="29">
        <f t="shared" ca="1" si="13"/>
        <v>85.961989309493291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2092480</v>
      </c>
      <c r="N22" s="38">
        <f t="shared" ca="1" si="18"/>
        <v>1733208</v>
      </c>
      <c r="O22" s="38">
        <f t="shared" ca="1" si="17"/>
        <v>45.487501623890012</v>
      </c>
      <c r="P22" s="38">
        <f t="shared" ca="1" si="13"/>
        <v>82.830325737880415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2542856</v>
      </c>
      <c r="M28" s="23">
        <f t="shared" si="23"/>
        <v>0</v>
      </c>
      <c r="N28" s="23">
        <f t="shared" ca="1" si="23"/>
        <v>734638.16</v>
      </c>
      <c r="O28" s="22">
        <f t="shared" ref="O28:O30" ca="1" si="24">IF(L28&gt;0,N28*100/L28,0)</f>
        <v>28.890277703495595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2542856</v>
      </c>
      <c r="M30" s="30">
        <f t="shared" si="27"/>
        <v>0</v>
      </c>
      <c r="N30" s="30">
        <f t="shared" ca="1" si="27"/>
        <v>734638.16</v>
      </c>
      <c r="O30" s="29">
        <f t="shared" ca="1" si="24"/>
        <v>28.890277703495595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2542856</v>
      </c>
      <c r="M32" s="38">
        <f t="shared" si="30"/>
        <v>0</v>
      </c>
      <c r="N32" s="38">
        <f t="shared" ca="1" si="30"/>
        <v>734638.16</v>
      </c>
      <c r="O32" s="38">
        <f t="shared" ca="1" si="29"/>
        <v>28.890277703495595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2542856</v>
      </c>
      <c r="M34" s="38">
        <f t="shared" si="32"/>
        <v>0</v>
      </c>
      <c r="N34" s="38">
        <f t="shared" ca="1" si="32"/>
        <v>734638.16</v>
      </c>
      <c r="O34" s="38">
        <f t="shared" ca="1" si="29"/>
        <v>28.890277703495595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2559280</v>
      </c>
      <c r="N37" s="54">
        <f t="shared" ca="1" si="33"/>
        <v>2200008</v>
      </c>
      <c r="O37" s="55">
        <f t="shared" ca="1" si="29"/>
        <v>51.436968316111752</v>
      </c>
      <c r="P37" s="55">
        <f t="shared" ca="1" si="25"/>
        <v>85.961989309493291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516500</v>
      </c>
      <c r="N41" s="78">
        <f t="shared" ca="1" si="34"/>
        <v>446605</v>
      </c>
      <c r="O41" s="77">
        <f t="shared" ref="O41:O43" ca="1" si="35">IF(L41&gt;0,N41*100/L41,0)</f>
        <v>47.658200832355135</v>
      </c>
      <c r="P41" s="77">
        <f t="shared" ref="P41:P43" ca="1" si="36">IF(M41&gt;0,N41*100/M41,0)</f>
        <v>86.467570183930306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516500</v>
      </c>
      <c r="N43" s="78">
        <f t="shared" ca="1" si="38"/>
        <v>446605</v>
      </c>
      <c r="O43" s="77">
        <f t="shared" ca="1" si="35"/>
        <v>47.658200832355135</v>
      </c>
      <c r="P43" s="77">
        <f t="shared" ca="1" si="36"/>
        <v>86.467570183930306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533">
        <f ca="1">IFERROR(__xludf.DUMMYFUNCTION("IMPORTRANGE(""https://docs.google.com/spreadsheets/d/1Yj_ptqi66GCucihVvJfMjLAmec39IyEx_6qawtMGysU/edit?usp=sharing"",""สบก!Q53"")"),420500)</f>
        <v>420500</v>
      </c>
      <c r="N45" s="533">
        <f ca="1">IFERROR(__xludf.DUMMYFUNCTION("IMPORTRANGE(""https://docs.google.com/spreadsheets/d/1Yj_ptqi66GCucihVvJfMjLAmec39IyEx_6qawtMGysU/edit?usp=sharing"",""สบก!R53"")"),350605)</f>
        <v>350605</v>
      </c>
      <c r="O45" s="534">
        <f ca="1">IF(L45&gt;0,N45*100/L45,0)</f>
        <v>41.684104149328263</v>
      </c>
      <c r="P45" s="534">
        <f ca="1">IF(M45&gt;0,N45*100/M45,0)</f>
        <v>83.378121284185497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IFERROR(__xludf.DUMMYFUNCTION("IMPORTRANGE(""https://docs.google.com/spreadsheets/d/1Yj_ptqi66GCucihVvJfMjLAmec39IyEx_6qawtMGysU/edit?usp=sharing"",""สบก!M53"")"),841100)</f>
        <v>841100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IFERROR(__xludf.DUMMYFUNCTION("IMPORTRANGE(""https://docs.google.com/spreadsheets/d/1Yj_ptqi66GCucihVvJfMjLAmec39IyEx_6qawtMGysU/edit?usp=sharing"",""สบก!N53"")"),0)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IFERROR(__xludf.DUMMYFUNCTION("IMPORTRANGE(""https://docs.google.com/spreadsheets/d/1Yj_ptqi66GCucihVvJfMjLAmec39IyEx_6qawtMGysU/edit?usp=sharing"",""สบก!O53"")"),96000)</f>
        <v>96000</v>
      </c>
      <c r="M49" s="536">
        <f ca="1">L49</f>
        <v>96000</v>
      </c>
      <c r="N49" s="533">
        <f ca="1">IFERROR(__xludf.DUMMYFUNCTION("IMPORTRANGE(""https://docs.google.com/spreadsheets/d/1Yj_ptqi66GCucihVvJfMjLAmec39IyEx_6qawtMGysU/edit?usp=sharing"",""สบก!S53"")"),96000)</f>
        <v>96000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357525</v>
      </c>
      <c r="N53" s="121">
        <f t="shared" ca="1" si="39"/>
        <v>332053</v>
      </c>
      <c r="O53" s="120">
        <f t="shared" ref="O53:O55" ca="1" si="40">IF(L53&gt;0,N53*100/L53,0)</f>
        <v>49.062204491725765</v>
      </c>
      <c r="P53" s="120">
        <f t="shared" ref="P53:P55" ca="1" si="41">IF(M53&gt;0,N53*100/M53,0)</f>
        <v>92.875463254317879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357525</v>
      </c>
      <c r="N55" s="121">
        <f t="shared" ca="1" si="43"/>
        <v>332053</v>
      </c>
      <c r="O55" s="120">
        <f t="shared" ca="1" si="40"/>
        <v>49.062204491725765</v>
      </c>
      <c r="P55" s="120">
        <f t="shared" ca="1" si="41"/>
        <v>92.875463254317879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533">
        <f ca="1">IFERROR(__xludf.DUMMYFUNCTION("IMPORTRANGE(""https://docs.google.com/spreadsheets/d/1Yj_ptqi66GCucihVvJfMjLAmec39IyEx_6qawtMGysU/edit?usp=sharing"",""สบก!Z53"")"),357525)</f>
        <v>357525</v>
      </c>
      <c r="N57" s="533">
        <f ca="1">IFERROR(__xludf.DUMMYFUNCTION("IMPORTRANGE(""https://docs.google.com/spreadsheets/d/1Yj_ptqi66GCucihVvJfMjLAmec39IyEx_6qawtMGysU/edit?usp=sharing"",""สบก!AA53"")"),332053)</f>
        <v>332053</v>
      </c>
      <c r="O57" s="534">
        <f ca="1">IF(L57&gt;0,N57*100/L57,0)</f>
        <v>49.062204491725765</v>
      </c>
      <c r="P57" s="534">
        <f ca="1">IF(M57&gt;0,N57*100/M57,0)</f>
        <v>92.875463254317879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IFERROR(__xludf.DUMMYFUNCTION("IMPORTRANGE(""https://docs.google.com/spreadsheets/d/1Yj_ptqi66GCucihVvJfMjLAmec39IyEx_6qawtMGysU/edit?usp=sharing"",""สบก!V53"")"),676800)</f>
        <v>676800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IFERROR(__xludf.DUMMYFUNCTION("IMPORTRANGE(""https://docs.google.com/spreadsheets/d/1Yj_ptqi66GCucihVvJfMjLAmec39IyEx_6qawtMGysU/edit?usp=sharing"",""สบก!W53"")"),0)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IFERROR(__xludf.DUMMYFUNCTION("IMPORTRANGE(""https://docs.google.com/spreadsheets/d/1Yj_ptqi66GCucihVvJfMjLAmec39IyEx_6qawtMGysU/edit?usp=sharing"",""สบก!X53"")"),0)</f>
        <v>0</v>
      </c>
      <c r="M61" s="536"/>
      <c r="N61" s="533">
        <f ca="1">IFERROR(__xludf.DUMMYFUNCTION("IMPORTRANGE(""https://docs.google.com/spreadsheets/d/1Yj_ptqi66GCucihVvJfMjLAmec39IyEx_6qawtMGysU/edit?usp=sharing"",""สบก!AB53"")"),0)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474020</v>
      </c>
      <c r="N66" s="152">
        <f t="shared" ca="1" si="45"/>
        <v>399393</v>
      </c>
      <c r="O66" s="151">
        <f t="shared" ref="O66:O68" ca="1" si="46">IF(L66&gt;0,N66*100/L66,0)</f>
        <v>45.660569338058764</v>
      </c>
      <c r="P66" s="151">
        <f t="shared" ref="P66:P68" ca="1" si="47">IF(M66&gt;0,N66*100/M66,0)</f>
        <v>84.256571452681328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474020</v>
      </c>
      <c r="N68" s="157">
        <f t="shared" ca="1" si="49"/>
        <v>399393</v>
      </c>
      <c r="O68" s="156">
        <f t="shared" ca="1" si="46"/>
        <v>45.660569338058764</v>
      </c>
      <c r="P68" s="156">
        <f t="shared" ca="1" si="47"/>
        <v>84.256571452681328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874700</v>
      </c>
      <c r="M70" s="537">
        <f ca="1">IFERROR(__xludf.DUMMYFUNCTION("IMPORTRANGE(""https://docs.google.com/spreadsheets/d/1Yj_ptqi66GCucihVvJfMjLAmec39IyEx_6qawtMGysU/edit?usp=sharing"",""สบก!AI53"")"),474020)</f>
        <v>474020</v>
      </c>
      <c r="N70" s="538">
        <f ca="1">IFERROR(__xludf.DUMMYFUNCTION("IMPORTRANGE(""https://docs.google.com/spreadsheets/d/1Yj_ptqi66GCucihVvJfMjLAmec39IyEx_6qawtMGysU/edit?usp=sharing"",""สบก!AJ53"")"),399393)</f>
        <v>399393</v>
      </c>
      <c r="O70" s="170">
        <f ca="1">IF(L70&gt;0,N70*100/L70,0)</f>
        <v>45.660569338058764</v>
      </c>
      <c r="P70" s="170">
        <f ca="1">IF(M70&gt;0,N70*100/M70,0)</f>
        <v>84.256571452681328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IFERROR(__xludf.DUMMYFUNCTION("IMPORTRANGE(""https://docs.google.com/spreadsheets/d/1Yj_ptqi66GCucihVvJfMjLAmec39IyEx_6qawtMGysU/edit?usp=sharing"",""สบก!AE53"")"),315900)</f>
        <v>315900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IFERROR(__xludf.DUMMYFUNCTION("IMPORTRANGE(""https://docs.google.com/spreadsheets/d/1Yj_ptqi66GCucihVvJfMjLAmec39IyEx_6qawtMGysU/edit?usp=sharing"",""สบก!AF53"")"),558800)</f>
        <v>558800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IFERROR(__xludf.DUMMYFUNCTION("IMPORTRANGE(""https://docs.google.com/spreadsheets/d/1Yj_ptqi66GCucihVvJfMjLAmec39IyEx_6qawtMGysU/edit?usp=sharing"",""สบก!AG53"")"),0)</f>
        <v>0</v>
      </c>
      <c r="M74" s="536"/>
      <c r="N74" s="533">
        <f ca="1">IFERROR(__xludf.DUMMYFUNCTION("IMPORTRANGE(""https://docs.google.com/spreadsheets/d/1Yj_ptqi66GCucihVvJfMjLAmec39IyEx_6qawtMGysU/edit?usp=sharing"",""สบก!AK53"")"),0)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IFERROR(__xludf.DUMMYFUNCTION("IMPORTRANGE(""https://docs.google.com/spreadsheets/d/1XL5vhW3sbDhbH9Cz0tuDiY8C3ctxq1tqvaCgkFb8cCA/edit?usp=sharing"",""หนองคาย!J16"")"),0)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IFERROR(__xludf.DUMMYFUNCTION("IMPORTRANGE(""https://docs.google.com/spreadsheets/d/1XL5vhW3sbDhbH9Cz0tuDiY8C3ctxq1tqvaCgkFb8cCA/edit?usp=sharing"",""หนองคาย!J17"")"),1)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IFERROR(__xludf.DUMMYFUNCTION("IMPORTRANGE(""https://docs.google.com/spreadsheets/d/1XL5vhW3sbDhbH9Cz0tuDiY8C3ctxq1tqvaCgkFb8cCA/edit?usp=sharing"",""หนองคาย!J18"")"),1)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IFERROR(__xludf.DUMMYFUNCTION("IMPORTRANGE(""https://docs.google.com/spreadsheets/d/1XL5vhW3sbDhbH9Cz0tuDiY8C3ctxq1tqvaCgkFb8cCA/edit?usp=sharing"",""หนองคาย!J19"")"),1)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IFERROR(__xludf.DUMMYFUNCTION("IMPORTRANGE(""https://docs.google.com/spreadsheets/d/1XL5vhW3sbDhbH9Cz0tuDiY8C3ctxq1tqvaCgkFb8cCA/edit?usp=sharing"",""หนองคาย!I20"")"),1)</f>
        <v>1</v>
      </c>
      <c r="J80" s="202">
        <f ca="1">IFERROR(__xludf.DUMMYFUNCTION("IMPORTRANGE(""https://docs.google.com/spreadsheets/d/1XL5vhW3sbDhbH9Cz0tuDiY8C3ctxq1tqvaCgkFb8cCA/edit?usp=sharing"",""หนองคาย!J20"")"),1)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IFERROR(__xludf.DUMMYFUNCTION("IMPORTRANGE(""https://docs.google.com/spreadsheets/d/1XL5vhW3sbDhbH9Cz0tuDiY8C3ctxq1tqvaCgkFb8cCA/edit?usp=sharing"",""หนองคาย!I21"")"),64)</f>
        <v>64</v>
      </c>
      <c r="J81" s="202">
        <f ca="1">IFERROR(__xludf.DUMMYFUNCTION("IMPORTRANGE(""https://docs.google.com/spreadsheets/d/1XL5vhW3sbDhbH9Cz0tuDiY8C3ctxq1tqvaCgkFb8cCA/edit?usp=sharing"",""หนองคาย!J21"")"),64)</f>
        <v>64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IFERROR(__xludf.DUMMYFUNCTION("IMPORTRANGE(""https://docs.google.com/spreadsheets/d/1XL5vhW3sbDhbH9Cz0tuDiY8C3ctxq1tqvaCgkFb8cCA/edit?usp=sharing"",""หนองคาย!I22"")"),0)</f>
        <v>0</v>
      </c>
      <c r="J82" s="205">
        <f ca="1">IFERROR(__xludf.DUMMYFUNCTION("IMPORTRANGE(""https://docs.google.com/spreadsheets/d/1XL5vhW3sbDhbH9Cz0tuDiY8C3ctxq1tqvaCgkFb8cCA/edit?usp=sharing"",""หนองคาย!J22"")"),0)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IFERROR(__xludf.DUMMYFUNCTION("IMPORTRANGE(""https://docs.google.com/spreadsheets/d/1XL5vhW3sbDhbH9Cz0tuDiY8C3ctxq1tqvaCgkFb8cCA/edit?usp=sharing"",""หนองคาย!I23"")"),0)</f>
        <v>0</v>
      </c>
      <c r="J83" s="205">
        <f ca="1">IFERROR(__xludf.DUMMYFUNCTION("IMPORTRANGE(""https://docs.google.com/spreadsheets/d/1XL5vhW3sbDhbH9Cz0tuDiY8C3ctxq1tqvaCgkFb8cCA/edit?usp=sharing"",""หนองคาย!J23"")"),0)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IFERROR(__xludf.DUMMYFUNCTION("IMPORTRANGE(""https://docs.google.com/spreadsheets/d/1XL5vhW3sbDhbH9Cz0tuDiY8C3ctxq1tqvaCgkFb8cCA/edit?usp=sharing"",""หนองคาย!I24"")"),1)</f>
        <v>1</v>
      </c>
      <c r="J84" s="190">
        <f ca="1">IFERROR(__xludf.DUMMYFUNCTION("IMPORTRANGE(""https://docs.google.com/spreadsheets/d/1XL5vhW3sbDhbH9Cz0tuDiY8C3ctxq1tqvaCgkFb8cCA/edit?usp=sharing"",""หนองคาย!J24"")"),1)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IFERROR(__xludf.DUMMYFUNCTION("IMPORTRANGE(""https://docs.google.com/spreadsheets/d/1XL5vhW3sbDhbH9Cz0tuDiY8C3ctxq1tqvaCgkFb8cCA/edit?usp=sharing"",""หนองคาย!I25"")"),64)</f>
        <v>64</v>
      </c>
      <c r="J85" s="190">
        <f ca="1">IFERROR(__xludf.DUMMYFUNCTION("IMPORTRANGE(""https://docs.google.com/spreadsheets/d/1XL5vhW3sbDhbH9Cz0tuDiY8C3ctxq1tqvaCgkFb8cCA/edit?usp=sharing"",""หนองคาย!J25"")"),64)</f>
        <v>64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IFERROR(__xludf.DUMMYFUNCTION("IMPORTRANGE(""https://docs.google.com/spreadsheets/d/1XL5vhW3sbDhbH9Cz0tuDiY8C3ctxq1tqvaCgkFb8cCA/edit?usp=sharing"",""หนองคาย!I26"")"),0)</f>
        <v>0</v>
      </c>
      <c r="J86" s="205">
        <f ca="1">IFERROR(__xludf.DUMMYFUNCTION("IMPORTRANGE(""https://docs.google.com/spreadsheets/d/1XL5vhW3sbDhbH9Cz0tuDiY8C3ctxq1tqvaCgkFb8cCA/edit?usp=sharing"",""หนองคาย!J26"")"),0)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IFERROR(__xludf.DUMMYFUNCTION("IMPORTRANGE(""https://docs.google.com/spreadsheets/d/1XL5vhW3sbDhbH9Cz0tuDiY8C3ctxq1tqvaCgkFb8cCA/edit?usp=sharing"",""หนองคาย!I27"")"),0)</f>
        <v>0</v>
      </c>
      <c r="J87" s="205">
        <f ca="1">IFERROR(__xludf.DUMMYFUNCTION("IMPORTRANGE(""https://docs.google.com/spreadsheets/d/1XL5vhW3sbDhbH9Cz0tuDiY8C3ctxq1tqvaCgkFb8cCA/edit?usp=sharing"",""หนองคาย!J27"")"),0)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IFERROR(__xludf.DUMMYFUNCTION("IMPORTRANGE(""https://docs.google.com/spreadsheets/d/1XL5vhW3sbDhbH9Cz0tuDiY8C3ctxq1tqvaCgkFb8cCA/edit?usp=sharing"",""หนองคาย!I28"")"),0)</f>
        <v>0</v>
      </c>
      <c r="J88" s="205">
        <f ca="1">IFERROR(__xludf.DUMMYFUNCTION("IMPORTRANGE(""https://docs.google.com/spreadsheets/d/1XL5vhW3sbDhbH9Cz0tuDiY8C3ctxq1tqvaCgkFb8cCA/edit?usp=sharing"",""หนองคาย!J28"")"),0)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IFERROR(__xludf.DUMMYFUNCTION("IMPORTRANGE(""https://docs.google.com/spreadsheets/d/1XL5vhW3sbDhbH9Cz0tuDiY8C3ctxq1tqvaCgkFb8cCA/edit?usp=sharing"",""หนองคาย!J29"")"),0)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IFERROR(__xludf.DUMMYFUNCTION("IMPORTRANGE(""https://docs.google.com/spreadsheets/d/1XL5vhW3sbDhbH9Cz0tuDiY8C3ctxq1tqvaCgkFb8cCA/edit?usp=sharing"",""หนองคาย!J33"")"),1)</f>
        <v>1</v>
      </c>
      <c r="K93" s="143">
        <f t="shared" ca="1" si="51"/>
        <v>50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319800</v>
      </c>
      <c r="M94" s="152">
        <f t="shared" ca="1" si="52"/>
        <v>265590</v>
      </c>
      <c r="N94" s="152">
        <f t="shared" ca="1" si="52"/>
        <v>215420</v>
      </c>
      <c r="O94" s="151">
        <f t="shared" ref="O94:O96" ca="1" si="53">IF(L94&gt;0,N94*100/L94,0)</f>
        <v>67.360850531582244</v>
      </c>
      <c r="P94" s="151">
        <f t="shared" ref="P94:P96" ca="1" si="54">IF(M94&gt;0,N94*100/M94,0)</f>
        <v>81.109981550510184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319800</v>
      </c>
      <c r="M96" s="157">
        <f t="shared" ca="1" si="56"/>
        <v>265590</v>
      </c>
      <c r="N96" s="157">
        <f t="shared" ca="1" si="56"/>
        <v>215420</v>
      </c>
      <c r="O96" s="156">
        <f t="shared" ca="1" si="53"/>
        <v>67.360850531582244</v>
      </c>
      <c r="P96" s="156">
        <f t="shared" ca="1" si="54"/>
        <v>81.109981550510184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135000</v>
      </c>
      <c r="M98" s="537">
        <f ca="1">IFERROR(__xludf.DUMMYFUNCTION("IMPORTRANGE(""https://docs.google.com/spreadsheets/d/1Yj_ptqi66GCucihVvJfMjLAmec39IyEx_6qawtMGysU/edit?usp=sharing"",""สบก!AR53"")"),80790)</f>
        <v>80790</v>
      </c>
      <c r="N98" s="538">
        <f ca="1">IFERROR(__xludf.DUMMYFUNCTION("IMPORTRANGE(""https://docs.google.com/spreadsheets/d/1Yj_ptqi66GCucihVvJfMjLAmec39IyEx_6qawtMGysU/edit?usp=sharing"",""สบก!AS53"")"),30620)</f>
        <v>30620</v>
      </c>
      <c r="O98" s="170">
        <f ca="1">IF(L98&gt;0,N98*100/L98,0)</f>
        <v>22.68148148148148</v>
      </c>
      <c r="P98" s="170">
        <f ca="1">IF(M98&gt;0,N98*100/M98,0)</f>
        <v>37.900730288402031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IFERROR(__xludf.DUMMYFUNCTION("IMPORTRANGE(""https://docs.google.com/spreadsheets/d/1Yj_ptqi66GCucihVvJfMjLAmec39IyEx_6qawtMGysU/edit?usp=sharing"",""สบก!AN53"")"),0)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IFERROR(__xludf.DUMMYFUNCTION("IMPORTRANGE(""https://docs.google.com/spreadsheets/d/1Yj_ptqi66GCucihVvJfMjLAmec39IyEx_6qawtMGysU/edit?usp=sharing"",""สบก!AO53"")"),135000)</f>
        <v>135000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IFERROR(__xludf.DUMMYFUNCTION("IMPORTRANGE(""https://docs.google.com/spreadsheets/d/1Yj_ptqi66GCucihVvJfMjLAmec39IyEx_6qawtMGysU/edit?usp=sharing"",""สบก!AP53"")"),184800)</f>
        <v>184800</v>
      </c>
      <c r="M102" s="536">
        <f ca="1">L102</f>
        <v>184800</v>
      </c>
      <c r="N102" s="533">
        <f ca="1">IFERROR(__xludf.DUMMYFUNCTION("IMPORTRANGE(""https://docs.google.com/spreadsheets/d/1Yj_ptqi66GCucihVvJfMjLAmec39IyEx_6qawtMGysU/edit?usp=sharing"",""สบก!AT53"")"),184800)</f>
        <v>184800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IFERROR(__xludf.DUMMYFUNCTION("IMPORTRANGE(""https://docs.google.com/spreadsheets/d/1XL5vhW3sbDhbH9Cz0tuDiY8C3ctxq1tqvaCgkFb8cCA/edit?usp=sharing"",""หนองคาย!J42"")"),1)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IFERROR(__xludf.DUMMYFUNCTION("IMPORTRANGE(""https://docs.google.com/spreadsheets/d/1XL5vhW3sbDhbH9Cz0tuDiY8C3ctxq1tqvaCgkFb8cCA/edit?usp=sharing"",""หนองคาย!I43"")"),1)</f>
        <v>1</v>
      </c>
      <c r="J108" s="205">
        <f ca="1">IFERROR(__xludf.DUMMYFUNCTION("IMPORTRANGE(""https://docs.google.com/spreadsheets/d/1XL5vhW3sbDhbH9Cz0tuDiY8C3ctxq1tqvaCgkFb8cCA/edit?usp=sharing"",""หนองคาย!J43"")"),0)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IFERROR(__xludf.DUMMYFUNCTION("IMPORTRANGE(""https://docs.google.com/spreadsheets/d/1XL5vhW3sbDhbH9Cz0tuDiY8C3ctxq1tqvaCgkFb8cCA/edit?usp=sharing"",""หนองคาย!I44"")"),7)</f>
        <v>7</v>
      </c>
      <c r="J109" s="205">
        <f ca="1">IFERROR(__xludf.DUMMYFUNCTION("IMPORTRANGE(""https://docs.google.com/spreadsheets/d/1XL5vhW3sbDhbH9Cz0tuDiY8C3ctxq1tqvaCgkFb8cCA/edit?usp=sharing"",""หนองคาย!J44"")"),0)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IFERROR(__xludf.DUMMYFUNCTION("IMPORTRANGE(""https://docs.google.com/spreadsheets/d/1XL5vhW3sbDhbH9Cz0tuDiY8C3ctxq1tqvaCgkFb8cCA/edit?usp=sharing"",""หนองคาย!I45"")"),7)</f>
        <v>7</v>
      </c>
      <c r="J110" s="205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IFERROR(__xludf.DUMMYFUNCTION("IMPORTRANGE(""https://docs.google.com/spreadsheets/d/1XL5vhW3sbDhbH9Cz0tuDiY8C3ctxq1tqvaCgkFb8cCA/edit?usp=sharing"",""หนองคาย!I46"")"),7)</f>
        <v>7</v>
      </c>
      <c r="J111" s="205">
        <f ca="1">IFERROR(__xludf.DUMMYFUNCTION("IMPORTRANGE(""https://docs.google.com/spreadsheets/d/1XL5vhW3sbDhbH9Cz0tuDiY8C3ctxq1tqvaCgkFb8cCA/edit?usp=sharing"",""หนองคาย!J46"")"),0)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IFERROR(__xludf.DUMMYFUNCTION("IMPORTRANGE(""https://docs.google.com/spreadsheets/d/1XL5vhW3sbDhbH9Cz0tuDiY8C3ctxq1tqvaCgkFb8cCA/edit?usp=sharing"",""หนองคาย!I47"")"),7)</f>
        <v>7</v>
      </c>
      <c r="J112" s="205">
        <f ca="1">IFERROR(__xludf.DUMMYFUNCTION("IMPORTRANGE(""https://docs.google.com/spreadsheets/d/1XL5vhW3sbDhbH9Cz0tuDiY8C3ctxq1tqvaCgkFb8cCA/edit?usp=sharing"",""หนองคาย!J47"")"),0)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IFERROR(__xludf.DUMMYFUNCTION("IMPORTRANGE(""https://docs.google.com/spreadsheets/d/1XL5vhW3sbDhbH9Cz0tuDiY8C3ctxq1tqvaCgkFb8cCA/edit?usp=sharing"",""หนองคาย!I48"")"),2)</f>
        <v>2</v>
      </c>
      <c r="J113" s="205">
        <f ca="1">IFERROR(__xludf.DUMMYFUNCTION("IMPORTRANGE(""https://docs.google.com/spreadsheets/d/1XL5vhW3sbDhbH9Cz0tuDiY8C3ctxq1tqvaCgkFb8cCA/edit?usp=sharing"",""หนองคาย!J48"")"),1)</f>
        <v>1</v>
      </c>
      <c r="K113" s="225">
        <f t="shared" ca="1" si="57"/>
        <v>50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25680</v>
      </c>
      <c r="O118" s="151">
        <f t="shared" ref="O118:O120" ca="1" si="59">IF(L118&gt;0,N118*100/L118,0)</f>
        <v>31.149927219796215</v>
      </c>
      <c r="P118" s="151">
        <f t="shared" ref="P118:P120" ca="1" si="60">IF(M118&gt;0,N118*100/M118,0)</f>
        <v>38.651414810355206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25680</v>
      </c>
      <c r="O120" s="156">
        <f t="shared" ca="1" si="59"/>
        <v>31.149927219796215</v>
      </c>
      <c r="P120" s="156">
        <f t="shared" ca="1" si="60"/>
        <v>38.651414810355206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IFERROR(__xludf.DUMMYFUNCTION("IMPORTRANGE(""https://docs.google.com/spreadsheets/d/1Yj_ptqi66GCucihVvJfMjLAmec39IyEx_6qawtMGysU/edit?usp=sharing"",""สบก!BA53"")"),66440)</f>
        <v>66440</v>
      </c>
      <c r="N122" s="538">
        <f ca="1">IFERROR(__xludf.DUMMYFUNCTION("IMPORTRANGE(""https://docs.google.com/spreadsheets/d/1Yj_ptqi66GCucihVvJfMjLAmec39IyEx_6qawtMGysU/edit?usp=sharing"",""สบก!BB53"")"),25680)</f>
        <v>25680</v>
      </c>
      <c r="O122" s="170">
        <f ca="1">IF(L122&gt;0,N122*100/L122,0)</f>
        <v>31.149927219796215</v>
      </c>
      <c r="P122" s="170">
        <f ca="1">IF(M122&gt;0,N122*100/M122,0)</f>
        <v>38.651414810355206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IFERROR(__xludf.DUMMYFUNCTION("IMPORTRANGE(""https://docs.google.com/spreadsheets/d/1Yj_ptqi66GCucihVvJfMjLAmec39IyEx_6qawtMGysU/edit?usp=sharing"",""สบก!AW53"")"),0)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IFERROR(__xludf.DUMMYFUNCTION("IMPORTRANGE(""https://docs.google.com/spreadsheets/d/1Yj_ptqi66GCucihVvJfMjLAmec39IyEx_6qawtMGysU/edit?usp=sharing"",""สบก!AX53"")"),82440)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IFERROR(__xludf.DUMMYFUNCTION("IMPORTRANGE(""https://docs.google.com/spreadsheets/d/1Yj_ptqi66GCucihVvJfMjLAmec39IyEx_6qawtMGysU/edit?usp=sharing"",""สบก!AY53"")"),0)</f>
        <v>0</v>
      </c>
      <c r="M126" s="536"/>
      <c r="N126" s="533">
        <f ca="1">IFERROR(__xludf.DUMMYFUNCTION("IMPORTRANGE(""https://docs.google.com/spreadsheets/d/1Yj_ptqi66GCucihVvJfMjLAmec39IyEx_6qawtMGysU/edit?usp=sharing"",""สบก!BC53"")"),0)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IFERROR(__xludf.DUMMYFUNCTION("IMPORTRANGE(""https://docs.google.com/spreadsheets/d/1XL5vhW3sbDhbH9Cz0tuDiY8C3ctxq1tqvaCgkFb8cCA/edit?usp=sharing"",""หนองคาย!I62"")"),20)</f>
        <v>20</v>
      </c>
      <c r="J132" s="205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IFERROR(__xludf.DUMMYFUNCTION("IMPORTRANGE(""https://docs.google.com/spreadsheets/d/1XL5vhW3sbDhbH9Cz0tuDiY8C3ctxq1tqvaCgkFb8cCA/edit?usp=sharing"",""หนองคาย!I63"")"),20)</f>
        <v>20</v>
      </c>
      <c r="J133" s="205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IFERROR(__xludf.DUMMYFUNCTION("IMPORTRANGE(""https://docs.google.com/spreadsheets/d/1XL5vhW3sbDhbH9Cz0tuDiY8C3ctxq1tqvaCgkFb8cCA/edit?usp=sharing"",""หนองคาย!J64"")"),0)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79000</v>
      </c>
      <c r="M140" s="152">
        <f t="shared" ca="1" si="64"/>
        <v>63750</v>
      </c>
      <c r="N140" s="152">
        <f t="shared" ca="1" si="64"/>
        <v>57200</v>
      </c>
      <c r="O140" s="151">
        <f t="shared" ref="O140:O142" ca="1" si="65">IF(L140&gt;0,N140*100/L140,0)</f>
        <v>72.405063291139243</v>
      </c>
      <c r="P140" s="151">
        <f t="shared" ref="P140:P142" ca="1" si="66">IF(M140&gt;0,N140*100/M140,0)</f>
        <v>89.725490196078425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79000</v>
      </c>
      <c r="M142" s="157">
        <f t="shared" ca="1" si="68"/>
        <v>63750</v>
      </c>
      <c r="N142" s="157">
        <f t="shared" ca="1" si="68"/>
        <v>57200</v>
      </c>
      <c r="O142" s="156">
        <f t="shared" ca="1" si="65"/>
        <v>72.405063291139243</v>
      </c>
      <c r="P142" s="156">
        <f t="shared" ca="1" si="66"/>
        <v>89.725490196078425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79000</v>
      </c>
      <c r="M144" s="537">
        <f ca="1">IFERROR(__xludf.DUMMYFUNCTION("IMPORTRANGE(""https://docs.google.com/spreadsheets/d/1Yj_ptqi66GCucihVvJfMjLAmec39IyEx_6qawtMGysU/edit?usp=sharing"",""สบก!BJ53"")"),63750)</f>
        <v>63750</v>
      </c>
      <c r="N144" s="538">
        <f ca="1">IFERROR(__xludf.DUMMYFUNCTION("IMPORTRANGE(""https://docs.google.com/spreadsheets/d/1Yj_ptqi66GCucihVvJfMjLAmec39IyEx_6qawtMGysU/edit?usp=sharing"",""สบก!BK53"")"),57200)</f>
        <v>57200</v>
      </c>
      <c r="O144" s="170">
        <f ca="1">IF(L144&gt;0,N144*100/L144,0)</f>
        <v>72.405063291139243</v>
      </c>
      <c r="P144" s="170">
        <f ca="1">IF(M144&gt;0,N144*100/M144,0)</f>
        <v>89.725490196078425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IFERROR(__xludf.DUMMYFUNCTION("IMPORTRANGE(""https://docs.google.com/spreadsheets/d/1Yj_ptqi66GCucihVvJfMjLAmec39IyEx_6qawtMGysU/edit?usp=sharing"",""สบก!BF53"")"),0)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IFERROR(__xludf.DUMMYFUNCTION("IMPORTRANGE(""https://docs.google.com/spreadsheets/d/1Yj_ptqi66GCucihVvJfMjLAmec39IyEx_6qawtMGysU/edit?usp=sharing"",""สบก!BG53"")"),79000)</f>
        <v>79000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IFERROR(__xludf.DUMMYFUNCTION("IMPORTRANGE(""https://docs.google.com/spreadsheets/d/1Yj_ptqi66GCucihVvJfMjLAmec39IyEx_6qawtMGysU/edit?usp=sharing"",""สบก!BH53"")"),0)</f>
        <v>0</v>
      </c>
      <c r="M148" s="536"/>
      <c r="N148" s="533">
        <f ca="1">IFERROR(__xludf.DUMMYFUNCTION("IMPORTRANGE(""https://docs.google.com/spreadsheets/d/1Yj_ptqi66GCucihVvJfMjLAmec39IyEx_6qawtMGysU/edit?usp=sharing"",""สบก!BL53"")"),0)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IFERROR(__xludf.DUMMYFUNCTION("IMPORTRANGE(""https://docs.google.com/spreadsheets/d/1XL5vhW3sbDhbH9Cz0tuDiY8C3ctxq1tqvaCgkFb8cCA/edit?usp=sharing"",""หนองคาย!J79"")"),0)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IFERROR(__xludf.DUMMYFUNCTION("IMPORTRANGE(""https://docs.google.com/spreadsheets/d/1XL5vhW3sbDhbH9Cz0tuDiY8C3ctxq1tqvaCgkFb8cCA/edit?usp=sharing"",""หนองคาย!J80"")"),1)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IFERROR(__xludf.DUMMYFUNCTION("IMPORTRANGE(""https://docs.google.com/spreadsheets/d/1XL5vhW3sbDhbH9Cz0tuDiY8C3ctxq1tqvaCgkFb8cCA/edit?usp=sharing"",""หนองคาย!J81"")"),1)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IFERROR(__xludf.DUMMYFUNCTION("IMPORTRANGE(""https://docs.google.com/spreadsheets/d/1XL5vhW3sbDhbH9Cz0tuDiY8C3ctxq1tqvaCgkFb8cCA/edit?usp=sharing"",""หนองคาย!J82"")"),1)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IFERROR(__xludf.DUMMYFUNCTION("IMPORTRANGE(""https://docs.google.com/spreadsheets/d/1XL5vhW3sbDhbH9Cz0tuDiY8C3ctxq1tqvaCgkFb8cCA/edit?usp=sharing"",""หนองคาย!I83"")"),4)</f>
        <v>4</v>
      </c>
      <c r="J158" s="190">
        <f ca="1">IFERROR(__xludf.DUMMYFUNCTION("IMPORTRANGE(""https://docs.google.com/spreadsheets/d/1XL5vhW3sbDhbH9Cz0tuDiY8C3ctxq1tqvaCgkFb8cCA/edit?usp=sharing"",""หนองคาย!J83"")"),2)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IFERROR(__xludf.DUMMYFUNCTION("IMPORTRANGE(""https://docs.google.com/spreadsheets/d/1XL5vhW3sbDhbH9Cz0tuDiY8C3ctxq1tqvaCgkFb8cCA/edit?usp=sharing"",""หนองคาย!J84"")"),0)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IFERROR(__xludf.DUMMYFUNCTION("IMPORTRANGE(""https://docs.google.com/spreadsheets/d/1XL5vhW3sbDhbH9Cz0tuDiY8C3ctxq1tqvaCgkFb8cCA/edit?usp=sharing"",""หนองคาย!J85"")"),0)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IFERROR(__xludf.DUMMYFUNCTION("IMPORTRANGE(""https://docs.google.com/spreadsheets/d/1XL5vhW3sbDhbH9Cz0tuDiY8C3ctxq1tqvaCgkFb8cCA/edit?usp=sharing"",""หนองคาย!J86"")"),0)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IFERROR(__xludf.DUMMYFUNCTION("IMPORTRANGE(""https://docs.google.com/spreadsheets/d/1XL5vhW3sbDhbH9Cz0tuDiY8C3ctxq1tqvaCgkFb8cCA/edit?usp=sharing"",""หนองคาย!J87"")"),0)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IFERROR(__xludf.DUMMYFUNCTION("IMPORTRANGE(""https://docs.google.com/spreadsheets/d/1XL5vhW3sbDhbH9Cz0tuDiY8C3ctxq1tqvaCgkFb8cCA/edit?usp=sharing"",""หนองคาย!I89"")"),3)</f>
        <v>3</v>
      </c>
      <c r="J164" s="284">
        <f ca="1">IFERROR(__xludf.DUMMYFUNCTION("IMPORTRANGE(""https://docs.google.com/spreadsheets/d/1XL5vhW3sbDhbH9Cz0tuDiY8C3ctxq1tqvaCgkFb8cCA/edit?usp=sharing"",""หนองคาย!J89"")"),3)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IFERROR(__xludf.DUMMYFUNCTION("IMPORTRANGE(""https://docs.google.com/spreadsheets/d/1XL5vhW3sbDhbH9Cz0tuDiY8C3ctxq1tqvaCgkFb8cCA/edit?usp=sharing"",""หนองคาย!J94"")"),0)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IFERROR(__xludf.DUMMYFUNCTION("IMPORTRANGE(""https://docs.google.com/spreadsheets/d/1XL5vhW3sbDhbH9Cz0tuDiY8C3ctxq1tqvaCgkFb8cCA/edit?usp=sharing"",""หนองคาย!J95"")"),1)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IFERROR(__xludf.DUMMYFUNCTION("IMPORTRANGE(""https://docs.google.com/spreadsheets/d/1XL5vhW3sbDhbH9Cz0tuDiY8C3ctxq1tqvaCgkFb8cCA/edit?usp=sharing"",""หนองคาย!J96"")"),1)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IFERROR(__xludf.DUMMYFUNCTION("IMPORTRANGE(""https://docs.google.com/spreadsheets/d/1XL5vhW3sbDhbH9Cz0tuDiY8C3ctxq1tqvaCgkFb8cCA/edit?usp=sharing"",""หนองคาย!J97"")"),1)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IFERROR(__xludf.DUMMYFUNCTION("IMPORTRANGE(""https://docs.google.com/spreadsheets/d/1XL5vhW3sbDhbH9Cz0tuDiY8C3ctxq1tqvaCgkFb8cCA/edit?usp=sharing"",""หนองคาย!I98"")"),3)</f>
        <v>3</v>
      </c>
      <c r="J173" s="190">
        <f ca="1">IFERROR(__xludf.DUMMYFUNCTION("IMPORTRANGE(""https://docs.google.com/spreadsheets/d/1XL5vhW3sbDhbH9Cz0tuDiY8C3ctxq1tqvaCgkFb8cCA/edit?usp=sharing"",""หนองคาย!J98"")"),3)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IFERROR(__xludf.DUMMYFUNCTION("IMPORTRANGE(""https://docs.google.com/spreadsheets/d/1XL5vhW3sbDhbH9Cz0tuDiY8C3ctxq1tqvaCgkFb8cCA/edit?usp=sharing"",""หนองคาย!J99"")"),0)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IFERROR(__xludf.DUMMYFUNCTION("IMPORTRANGE(""https://docs.google.com/spreadsheets/d/1XL5vhW3sbDhbH9Cz0tuDiY8C3ctxq1tqvaCgkFb8cCA/edit?usp=sharing"",""หนองคาย!I101"")"),1)</f>
        <v>1</v>
      </c>
      <c r="J176" s="284">
        <f ca="1">IFERROR(__xludf.DUMMYFUNCTION("IMPORTRANGE(""https://docs.google.com/spreadsheets/d/1XL5vhW3sbDhbH9Cz0tuDiY8C3ctxq1tqvaCgkFb8cCA/edit?usp=sharing"",""หนองคาย!J101"")"),1)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IFERROR(__xludf.DUMMYFUNCTION("IMPORTRANGE(""https://docs.google.com/spreadsheets/d/1XL5vhW3sbDhbH9Cz0tuDiY8C3ctxq1tqvaCgkFb8cCA/edit?usp=sharing"",""หนองคาย!J107"")"),1)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IFERROR(__xludf.DUMMYFUNCTION("IMPORTRANGE(""https://docs.google.com/spreadsheets/d/1XL5vhW3sbDhbH9Cz0tuDiY8C3ctxq1tqvaCgkFb8cCA/edit?usp=sharing"",""หนองคาย!J108"")"),1)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IFERROR(__xludf.DUMMYFUNCTION("IMPORTRANGE(""https://docs.google.com/spreadsheets/d/1XL5vhW3sbDhbH9Cz0tuDiY8C3ctxq1tqvaCgkFb8cCA/edit?usp=sharing"",""หนองคาย!J109"")"),1)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IFERROR(__xludf.DUMMYFUNCTION("IMPORTRANGE(""https://docs.google.com/spreadsheets/d/1XL5vhW3sbDhbH9Cz0tuDiY8C3ctxq1tqvaCgkFb8cCA/edit?usp=sharing"",""หนองคาย!I110"")"),1)</f>
        <v>1</v>
      </c>
      <c r="J185" s="205">
        <f ca="1">IFERROR(__xludf.DUMMYFUNCTION("IMPORTRANGE(""https://docs.google.com/spreadsheets/d/1XL5vhW3sbDhbH9Cz0tuDiY8C3ctxq1tqvaCgkFb8cCA/edit?usp=sharing"",""หนองคาย!J110"")"),0)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IFERROR(__xludf.DUMMYFUNCTION("IMPORTRANGE(""https://docs.google.com/spreadsheets/d/1XL5vhW3sbDhbH9Cz0tuDiY8C3ctxq1tqvaCgkFb8cCA/edit?usp=sharing"",""หนองคาย!I111"")"),1)</f>
        <v>1</v>
      </c>
      <c r="J186" s="205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IFERROR(__xludf.DUMMYFUNCTION("IMPORTRANGE(""https://docs.google.com/spreadsheets/d/1XL5vhW3sbDhbH9Cz0tuDiY8C3ctxq1tqvaCgkFb8cCA/edit?usp=sharing"",""หนองคาย!J113"")"),0)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IFERROR(__xludf.DUMMYFUNCTION("IMPORTRANGE(""https://docs.google.com/spreadsheets/d/1XL5vhW3sbDhbH9Cz0tuDiY8C3ctxq1tqvaCgkFb8cCA/edit?usp=sharing"",""หนองคาย!I114"")"),30000)</f>
        <v>30000</v>
      </c>
      <c r="J189" s="284">
        <f ca="1">IFERROR(__xludf.DUMMYFUNCTION("IMPORTRANGE(""https://docs.google.com/spreadsheets/d/1XL5vhW3sbDhbH9Cz0tuDiY8C3ctxq1tqvaCgkFb8cCA/edit?usp=sharing"",""หนองคาย!J114"")"),0)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IFERROR(__xludf.DUMMYFUNCTION("IMPORTRANGE(""https://docs.google.com/spreadsheets/d/1XL5vhW3sbDhbH9Cz0tuDiY8C3ctxq1tqvaCgkFb8cCA/edit?usp=sharing"",""หนองคาย!J119"")"),0)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IFERROR(__xludf.DUMMYFUNCTION("IMPORTRANGE(""https://docs.google.com/spreadsheets/d/1XL5vhW3sbDhbH9Cz0tuDiY8C3ctxq1tqvaCgkFb8cCA/edit?usp=sharing"",""หนองคาย!J120"")"),1)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IFERROR(__xludf.DUMMYFUNCTION("IMPORTRANGE(""https://docs.google.com/spreadsheets/d/1XL5vhW3sbDhbH9Cz0tuDiY8C3ctxq1tqvaCgkFb8cCA/edit?usp=sharing"",""หนองคาย!J121"")"),1)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IFERROR(__xludf.DUMMYFUNCTION("IMPORTRANGE(""https://docs.google.com/spreadsheets/d/1XL5vhW3sbDhbH9Cz0tuDiY8C3ctxq1tqvaCgkFb8cCA/edit?usp=sharing"",""หนองคาย!J122"")"),0)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IFERROR(__xludf.DUMMYFUNCTION("IMPORTRANGE(""https://docs.google.com/spreadsheets/d/1XL5vhW3sbDhbH9Cz0tuDiY8C3ctxq1tqvaCgkFb8cCA/edit?usp=sharing"",""หนองคาย!I124"")"),30000)</f>
        <v>30000</v>
      </c>
      <c r="J199" s="190">
        <f ca="1">IFERROR(__xludf.DUMMYFUNCTION("IMPORTRANGE(""https://docs.google.com/spreadsheets/d/1XL5vhW3sbDhbH9Cz0tuDiY8C3ctxq1tqvaCgkFb8cCA/edit?usp=sharing"",""หนองคาย!J124"")"),0)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IFERROR(__xludf.DUMMYFUNCTION("IMPORTRANGE(""https://docs.google.com/spreadsheets/d/1XL5vhW3sbDhbH9Cz0tuDiY8C3ctxq1tqvaCgkFb8cCA/edit?usp=sharing"",""หนองคาย!I125"")"),30000)</f>
        <v>30000</v>
      </c>
      <c r="J200" s="190">
        <f ca="1">IFERROR(__xludf.DUMMYFUNCTION("IMPORTRANGE(""https://docs.google.com/spreadsheets/d/1XL5vhW3sbDhbH9Cz0tuDiY8C3ctxq1tqvaCgkFb8cCA/edit?usp=sharing"",""หนองคาย!J125"")"),0)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IFERROR(__xludf.DUMMYFUNCTION("IMPORTRANGE(""https://docs.google.com/spreadsheets/d/1XL5vhW3sbDhbH9Cz0tuDiY8C3ctxq1tqvaCgkFb8cCA/edit?usp=sharing"",""หนองคาย!I126"")"),0)</f>
        <v>0</v>
      </c>
      <c r="J201" s="190">
        <f ca="1">IFERROR(__xludf.DUMMYFUNCTION("IMPORTRANGE(""https://docs.google.com/spreadsheets/d/1XL5vhW3sbDhbH9Cz0tuDiY8C3ctxq1tqvaCgkFb8cCA/edit?usp=sharing"",""หนองคาย!J126"")"),0)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IFERROR(__xludf.DUMMYFUNCTION("IMPORTRANGE(""https://docs.google.com/spreadsheets/d/1XL5vhW3sbDhbH9Cz0tuDiY8C3ctxq1tqvaCgkFb8cCA/edit?usp=sharing"",""หนองคาย!J127"")"),0)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IFERROR(__xludf.DUMMYFUNCTION("IMPORTRANGE(""https://docs.google.com/spreadsheets/d/1XL5vhW3sbDhbH9Cz0tuDiY8C3ctxq1tqvaCgkFb8cCA/edit?usp=sharing"",""หนองคาย!J128"")"),0)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IFERROR(__xludf.DUMMYFUNCTION("IMPORTRANGE(""https://docs.google.com/spreadsheets/d/1XL5vhW3sbDhbH9Cz0tuDiY8C3ctxq1tqvaCgkFb8cCA/edit?usp=sharing"",""หนองคาย!I129"")"),0)</f>
        <v>0</v>
      </c>
      <c r="J204" s="284">
        <f ca="1">IFERROR(__xludf.DUMMYFUNCTION("IMPORTRANGE(""https://docs.google.com/spreadsheets/d/1XL5vhW3sbDhbH9Cz0tuDiY8C3ctxq1tqvaCgkFb8cCA/edit?usp=sharing"",""หนองคาย!J129"")"),0)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IFERROR(__xludf.DUMMYFUNCTION("IMPORTRANGE(""https://docs.google.com/spreadsheets/d/1XL5vhW3sbDhbH9Cz0tuDiY8C3ctxq1tqvaCgkFb8cCA/edit?usp=sharing"",""หนองคาย!I138"")"),0)</f>
        <v>0</v>
      </c>
      <c r="J213" s="205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IFERROR(__xludf.DUMMYFUNCTION("IMPORTRANGE(""https://docs.google.com/spreadsheets/d/1XL5vhW3sbDhbH9Cz0tuDiY8C3ctxq1tqvaCgkFb8cCA/edit?usp=sharing"",""หนองคาย!I140"")"),0)</f>
        <v>0</v>
      </c>
      <c r="J215" s="205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IFERROR(__xludf.DUMMYFUNCTION("IMPORTRANGE(""https://docs.google.com/spreadsheets/d/1XL5vhW3sbDhbH9Cz0tuDiY8C3ctxq1tqvaCgkFb8cCA/edit?usp=sharing"",""หนองคาย!I141"")"),0)</f>
        <v>0</v>
      </c>
      <c r="J216" s="205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IFERROR(__xludf.DUMMYFUNCTION("IMPORTRANGE(""https://docs.google.com/spreadsheets/d/1Yj_ptqi66GCucihVvJfMjLAmec39IyEx_6qawtMGysU/edit?usp=sharing"",""สบก!BS53"")"),21125)</f>
        <v>21125</v>
      </c>
      <c r="N224" s="538">
        <f ca="1">IFERROR(__xludf.DUMMYFUNCTION("IMPORTRANGE(""https://docs.google.com/spreadsheets/d/1Yj_ptqi66GCucihVvJfMjLAmec39IyEx_6qawtMGysU/edit?usp=sharing"",""สบก!BT53"")"),21125)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IFERROR(__xludf.DUMMYFUNCTION("IMPORTRANGE(""https://docs.google.com/spreadsheets/d/1Yj_ptqi66GCucihVvJfMjLAmec39IyEx_6qawtMGysU/edit?usp=sharing"",""สบก!BO53"")"),0)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IFERROR(__xludf.DUMMYFUNCTION("IMPORTRANGE(""https://docs.google.com/spreadsheets/d/1Yj_ptqi66GCucihVvJfMjLAmec39IyEx_6qawtMGysU/edit?usp=sharing"",""สบก!BP53"")"),21125)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IFERROR(__xludf.DUMMYFUNCTION("IMPORTRANGE(""https://docs.google.com/spreadsheets/d/1Yj_ptqi66GCucihVvJfMjLAmec39IyEx_6qawtMGysU/edit?usp=sharing"",""สบก!BQ53"")"),0)</f>
        <v>0</v>
      </c>
      <c r="M228" s="536"/>
      <c r="N228" s="533">
        <f ca="1">IFERROR(__xludf.DUMMYFUNCTION("IMPORTRANGE(""https://docs.google.com/spreadsheets/d/1Yj_ptqi66GCucihVvJfMjLAmec39IyEx_6qawtMGysU/edit?usp=sharing"",""สบก!BU53"")"),0)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IFERROR(__xludf.DUMMYFUNCTION("IMPORTRANGE(""https://docs.google.com/spreadsheets/d/1XL5vhW3sbDhbH9Cz0tuDiY8C3ctxq1tqvaCgkFb8cCA/edit?usp=sharing"",""หนองคาย!J151"")"),0)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IFERROR(__xludf.DUMMYFUNCTION("IMPORTRANGE(""https://docs.google.com/spreadsheets/d/1XL5vhW3sbDhbH9Cz0tuDiY8C3ctxq1tqvaCgkFb8cCA/edit?usp=sharing"",""หนองคาย!J152"")"),1)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IFERROR(__xludf.DUMMYFUNCTION("IMPORTRANGE(""https://docs.google.com/spreadsheets/d/1XL5vhW3sbDhbH9Cz0tuDiY8C3ctxq1tqvaCgkFb8cCA/edit?usp=sharing"",""หนองคาย!J153"")"),1)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IFERROR(__xludf.DUMMYFUNCTION("IMPORTRANGE(""https://docs.google.com/spreadsheets/d/1XL5vhW3sbDhbH9Cz0tuDiY8C3ctxq1tqvaCgkFb8cCA/edit?usp=sharing"",""หนองคาย!J154"")"),1)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IFERROR(__xludf.DUMMYFUNCTION("IMPORTRANGE(""https://docs.google.com/spreadsheets/d/1XL5vhW3sbDhbH9Cz0tuDiY8C3ctxq1tqvaCgkFb8cCA/edit?usp=sharing"",""หนองคาย!I155"")"),15)</f>
        <v>15</v>
      </c>
      <c r="J235" s="190">
        <f ca="1">IFERROR(__xludf.DUMMYFUNCTION("IMPORTRANGE(""https://docs.google.com/spreadsheets/d/1XL5vhW3sbDhbH9Cz0tuDiY8C3ctxq1tqvaCgkFb8cCA/edit?usp=sharing"",""หนองคาย!J155"")"),15)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IFERROR(__xludf.DUMMYFUNCTION("IMPORTRANGE(""https://docs.google.com/spreadsheets/d/1XL5vhW3sbDhbH9Cz0tuDiY8C3ctxq1tqvaCgkFb8cCA/edit?usp=sharing"",""หนองคาย!J156"")"),1)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IFERROR(__xludf.DUMMYFUNCTION("IMPORTRANGE(""https://docs.google.com/spreadsheets/d/1XL5vhW3sbDhbH9Cz0tuDiY8C3ctxq1tqvaCgkFb8cCA/edit?usp=sharing"",""หนองคาย!J157"")"),0)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IFERROR(__xludf.DUMMYFUNCTION("IMPORTRANGE(""https://docs.google.com/spreadsheets/d/1XL5vhW3sbDhbH9Cz0tuDiY8C3ctxq1tqvaCgkFb8cCA/edit?usp=sharing"",""หนองคาย!J159"")"),"")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IFERROR(__xludf.DUMMYFUNCTION("IMPORTRANGE(""https://docs.google.com/spreadsheets/d/1XL5vhW3sbDhbH9Cz0tuDiY8C3ctxq1tqvaCgkFb8cCA/edit?usp=sharing"",""หนองคาย!J161"")"),0)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IFERROR(__xludf.DUMMYFUNCTION("IMPORTRANGE(""https://docs.google.com/spreadsheets/d/1XL5vhW3sbDhbH9Cz0tuDiY8C3ctxq1tqvaCgkFb8cCA/edit?usp=sharing"",""หนองคาย!J162"")"),0)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IFERROR(__xludf.DUMMYFUNCTION("IMPORTRANGE(""https://docs.google.com/spreadsheets/d/1XL5vhW3sbDhbH9Cz0tuDiY8C3ctxq1tqvaCgkFb8cCA/edit?usp=sharing"",""หนองคาย!J163"")"),0)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IFERROR(__xludf.DUMMYFUNCTION("IMPORTRANGE(""https://docs.google.com/spreadsheets/d/1XL5vhW3sbDhbH9Cz0tuDiY8C3ctxq1tqvaCgkFb8cCA/edit?usp=sharing"",""หนองคาย!I164"")"),0)</f>
        <v>0</v>
      </c>
      <c r="J244" s="189">
        <f ca="1">IFERROR(__xludf.DUMMYFUNCTION("IMPORTRANGE(""https://docs.google.com/spreadsheets/d/1XL5vhW3sbDhbH9Cz0tuDiY8C3ctxq1tqvaCgkFb8cCA/edit?usp=sharing"",""หนองคาย!J164"")"),0)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IFERROR(__xludf.DUMMYFUNCTION("IMPORTRANGE(""https://docs.google.com/spreadsheets/d/1XL5vhW3sbDhbH9Cz0tuDiY8C3ctxq1tqvaCgkFb8cCA/edit?usp=sharing"",""หนองคาย!J165"")"),0)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IFERROR(__xludf.DUMMYFUNCTION("IMPORTRANGE(""https://docs.google.com/spreadsheets/d/1XL5vhW3sbDhbH9Cz0tuDiY8C3ctxq1tqvaCgkFb8cCA/edit?usp=sharing"",""หนองคาย!I169"")"),25)</f>
        <v>25</v>
      </c>
      <c r="J249" s="316">
        <f ca="1">IFERROR(__xludf.DUMMYFUNCTION("IMPORTRANGE(""https://docs.google.com/spreadsheets/d/1XL5vhW3sbDhbH9Cz0tuDiY8C3ctxq1tqvaCgkFb8cCA/edit?usp=sharing"",""หนองคาย!J169"")"),25)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40724</v>
      </c>
      <c r="O250" s="151">
        <f t="shared" ref="O250:O252" ca="1" si="78">IF(L250&gt;0,N250*100/L250,0)</f>
        <v>45.757303370786516</v>
      </c>
      <c r="P250" s="151">
        <f t="shared" ref="P250:P252" ca="1" si="79">IF(M250&gt;0,N250*100/M250,0)</f>
        <v>95.821176470588242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40724</v>
      </c>
      <c r="O252" s="156">
        <f t="shared" ca="1" si="78"/>
        <v>45.757303370786516</v>
      </c>
      <c r="P252" s="156">
        <f t="shared" ca="1" si="79"/>
        <v>95.821176470588242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IFERROR(__xludf.DUMMYFUNCTION("IMPORTRANGE(""https://docs.google.com/spreadsheets/d/1Yj_ptqi66GCucihVvJfMjLAmec39IyEx_6qawtMGysU/edit?usp=sharing"",""สบก!CB53"")"),42500)</f>
        <v>42500</v>
      </c>
      <c r="N254" s="538">
        <f ca="1">IFERROR(__xludf.DUMMYFUNCTION("IMPORTRANGE(""https://docs.google.com/spreadsheets/d/1Yj_ptqi66GCucihVvJfMjLAmec39IyEx_6qawtMGysU/edit?usp=sharing"",""สบก!CC53"")"),40724)</f>
        <v>40724</v>
      </c>
      <c r="O254" s="170">
        <f ca="1">IF(L254&gt;0,N254*100/L254,0)</f>
        <v>45.757303370786516</v>
      </c>
      <c r="P254" s="170">
        <f ca="1">IF(M254&gt;0,N254*100/M254,0)</f>
        <v>95.821176470588242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IFERROR(__xludf.DUMMYFUNCTION("IMPORTRANGE(""https://docs.google.com/spreadsheets/d/1Yj_ptqi66GCucihVvJfMjLAmec39IyEx_6qawtMGysU/edit?usp=sharing"",""สบก!BX53"")"),0)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IFERROR(__xludf.DUMMYFUNCTION("IMPORTRANGE(""https://docs.google.com/spreadsheets/d/1Yj_ptqi66GCucihVvJfMjLAmec39IyEx_6qawtMGysU/edit?usp=sharing"",""สบก!BY53"")"),89000)</f>
        <v>89000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IFERROR(__xludf.DUMMYFUNCTION("IMPORTRANGE(""https://docs.google.com/spreadsheets/d/1Yj_ptqi66GCucihVvJfMjLAmec39IyEx_6qawtMGysU/edit?usp=sharing"",""สบก!BZ53"")"),0)</f>
        <v>0</v>
      </c>
      <c r="M258" s="536"/>
      <c r="N258" s="533">
        <f ca="1">IFERROR(__xludf.DUMMYFUNCTION("IMPORTRANGE(""https://docs.google.com/spreadsheets/d/1Yj_ptqi66GCucihVvJfMjLAmec39IyEx_6qawtMGysU/edit?usp=sharing"",""สบก!CD53"")"),0)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IFERROR(__xludf.DUMMYFUNCTION("IMPORTRANGE(""https://docs.google.com/spreadsheets/d/1XL5vhW3sbDhbH9Cz0tuDiY8C3ctxq1tqvaCgkFb8cCA/edit?usp=sharing"",""หนองคาย!J175"")"),0)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IFERROR(__xludf.DUMMYFUNCTION("IMPORTRANGE(""https://docs.google.com/spreadsheets/d/1XL5vhW3sbDhbH9Cz0tuDiY8C3ctxq1tqvaCgkFb8cCA/edit?usp=sharing"",""หนองคาย!J176"")"),1)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IFERROR(__xludf.DUMMYFUNCTION("IMPORTRANGE(""https://docs.google.com/spreadsheets/d/1XL5vhW3sbDhbH9Cz0tuDiY8C3ctxq1tqvaCgkFb8cCA/edit?usp=sharing"",""หนองคาย!J177"")"),1)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IFERROR(__xludf.DUMMYFUNCTION("IMPORTRANGE(""https://docs.google.com/spreadsheets/d/1XL5vhW3sbDhbH9Cz0tuDiY8C3ctxq1tqvaCgkFb8cCA/edit?usp=sharing"",""หนองคาย!J178"")"),1)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IFERROR(__xludf.DUMMYFUNCTION("IMPORTRANGE(""https://docs.google.com/spreadsheets/d/1XL5vhW3sbDhbH9Cz0tuDiY8C3ctxq1tqvaCgkFb8cCA/edit?usp=sharing"",""หนองคาย!I179"")"),1)</f>
        <v>1</v>
      </c>
      <c r="J264" s="190">
        <f ca="1">IFERROR(__xludf.DUMMYFUNCTION("IMPORTRANGE(""https://docs.google.com/spreadsheets/d/1XL5vhW3sbDhbH9Cz0tuDiY8C3ctxq1tqvaCgkFb8cCA/edit?usp=sharing"",""หนองคาย!J179"")"),0)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IFERROR(__xludf.DUMMYFUNCTION("IMPORTRANGE(""https://docs.google.com/spreadsheets/d/1XL5vhW3sbDhbH9Cz0tuDiY8C3ctxq1tqvaCgkFb8cCA/edit?usp=sharing"",""หนองคาย!I180"")"),25)</f>
        <v>25</v>
      </c>
      <c r="J265" s="190">
        <f ca="1">IFERROR(__xludf.DUMMYFUNCTION("IMPORTRANGE(""https://docs.google.com/spreadsheets/d/1XL5vhW3sbDhbH9Cz0tuDiY8C3ctxq1tqvaCgkFb8cCA/edit?usp=sharing"",""หนองคาย!J180"")"),25)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IFERROR(__xludf.DUMMYFUNCTION("IMPORTRANGE(""https://docs.google.com/spreadsheets/d/1XL5vhW3sbDhbH9Cz0tuDiY8C3ctxq1tqvaCgkFb8cCA/edit?usp=sharing"",""หนองคาย!I181"")"),25)</f>
        <v>25</v>
      </c>
      <c r="J266" s="190">
        <f ca="1">IFERROR(__xludf.DUMMYFUNCTION("IMPORTRANGE(""https://docs.google.com/spreadsheets/d/1XL5vhW3sbDhbH9Cz0tuDiY8C3ctxq1tqvaCgkFb8cCA/edit?usp=sharing"",""หนองคาย!J181"")"),0)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IFERROR(__xludf.DUMMYFUNCTION("IMPORTRANGE(""https://docs.google.com/spreadsheets/d/1XL5vhW3sbDhbH9Cz0tuDiY8C3ctxq1tqvaCgkFb8cCA/edit?usp=sharing"",""หนองคาย!I182"")"),1)</f>
        <v>1</v>
      </c>
      <c r="J267" s="190">
        <f ca="1">IFERROR(__xludf.DUMMYFUNCTION("IMPORTRANGE(""https://docs.google.com/spreadsheets/d/1XL5vhW3sbDhbH9Cz0tuDiY8C3ctxq1tqvaCgkFb8cCA/edit?usp=sharing"",""หนองคาย!J182"")"),1)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IFERROR(__xludf.DUMMYFUNCTION("IMPORTRANGE(""https://docs.google.com/spreadsheets/d/1XL5vhW3sbDhbH9Cz0tuDiY8C3ctxq1tqvaCgkFb8cCA/edit?usp=sharing"",""หนองคาย!J183"")"),0)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IFERROR(__xludf.DUMMYFUNCTION("IMPORTRANGE(""https://docs.google.com/spreadsheets/d/1XL5vhW3sbDhbH9Cz0tuDiY8C3ctxq1tqvaCgkFb8cCA/edit?usp=sharing"",""หนองคาย!J184"")"),0)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IFERROR(__xludf.DUMMYFUNCTION("IMPORTRANGE(""https://docs.google.com/spreadsheets/d/1XL5vhW3sbDhbH9Cz0tuDiY8C3ctxq1tqvaCgkFb8cCA/edit?usp=sharing"",""หนองคาย!I185"")"),0)</f>
        <v>0</v>
      </c>
      <c r="J270" s="316">
        <f ca="1">IFERROR(__xludf.DUMMYFUNCTION("IMPORTRANGE(""https://docs.google.com/spreadsheets/d/1XL5vhW3sbDhbH9Cz0tuDiY8C3ctxq1tqvaCgkFb8cCA/edit?usp=sharing"",""หนองคาย!J185"")"),0)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IFERROR(__xludf.DUMMYFUNCTION("IMPORTRANGE(""https://docs.google.com/spreadsheets/d/1Yj_ptqi66GCucihVvJfMjLAmec39IyEx_6qawtMGysU/edit?usp=sharing"",""สบก!CK53"")"),0)</f>
        <v>0</v>
      </c>
      <c r="N275" s="538">
        <f ca="1">IFERROR(__xludf.DUMMYFUNCTION("IMPORTRANGE(""https://docs.google.com/spreadsheets/d/1Yj_ptqi66GCucihVvJfMjLAmec39IyEx_6qawtMGysU/edit?usp=sharing"",""สบก!CL53"")"),0)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IFERROR(__xludf.DUMMYFUNCTION("IMPORTRANGE(""https://docs.google.com/spreadsheets/d/1Yj_ptqi66GCucihVvJfMjLAmec39IyEx_6qawtMGysU/edit?usp=sharing"",""สบก!CG53"")"),0)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IFERROR(__xludf.DUMMYFUNCTION("IMPORTRANGE(""https://docs.google.com/spreadsheets/d/1Yj_ptqi66GCucihVvJfMjLAmec39IyEx_6qawtMGysU/edit?usp=sharing"",""สบก!CH53"")"),0)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IFERROR(__xludf.DUMMYFUNCTION("IMPORTRANGE(""https://docs.google.com/spreadsheets/d/1Yj_ptqi66GCucihVvJfMjLAmec39IyEx_6qawtMGysU/edit?usp=sharing"",""สบก!CI53"")"),0)</f>
        <v>0</v>
      </c>
      <c r="M279" s="536"/>
      <c r="N279" s="533">
        <f ca="1">IFERROR(__xludf.DUMMYFUNCTION("IMPORTRANGE(""https://docs.google.com/spreadsheets/d/1Yj_ptqi66GCucihVvJfMjLAmec39IyEx_6qawtMGysU/edit?usp=sharing"",""สบก!CM53"")"),0)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IFERROR(__xludf.DUMMYFUNCTION("IMPORTRANGE(""https://docs.google.com/spreadsheets/d/1XL5vhW3sbDhbH9Cz0tuDiY8C3ctxq1tqvaCgkFb8cCA/edit?usp=sharing"",""หนองคาย!J191"")"),0)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IFERROR(__xludf.DUMMYFUNCTION("IMPORTRANGE(""https://docs.google.com/spreadsheets/d/1XL5vhW3sbDhbH9Cz0tuDiY8C3ctxq1tqvaCgkFb8cCA/edit?usp=sharing"",""หนองคาย!J192"")"),0)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IFERROR(__xludf.DUMMYFUNCTION("IMPORTRANGE(""https://docs.google.com/spreadsheets/d/1XL5vhW3sbDhbH9Cz0tuDiY8C3ctxq1tqvaCgkFb8cCA/edit?usp=sharing"",""หนองคาย!J193"")"),0)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IFERROR(__xludf.DUMMYFUNCTION("IMPORTRANGE(""https://docs.google.com/spreadsheets/d/1XL5vhW3sbDhbH9Cz0tuDiY8C3ctxq1tqvaCgkFb8cCA/edit?usp=sharing"",""หนองคาย!J194"")"),0)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IFERROR(__xludf.DUMMYFUNCTION("IMPORTRANGE(""https://docs.google.com/spreadsheets/d/1XL5vhW3sbDhbH9Cz0tuDiY8C3ctxq1tqvaCgkFb8cCA/edit?usp=sharing"",""หนองคาย!I195"")"),0)</f>
        <v>0</v>
      </c>
      <c r="J285" s="190">
        <f ca="1">IFERROR(__xludf.DUMMYFUNCTION("IMPORTRANGE(""https://docs.google.com/spreadsheets/d/1XL5vhW3sbDhbH9Cz0tuDiY8C3ctxq1tqvaCgkFb8cCA/edit?usp=sharing"",""หนองคาย!J195"")"),0)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IFERROR(__xludf.DUMMYFUNCTION("IMPORTRANGE(""https://docs.google.com/spreadsheets/d/1XL5vhW3sbDhbH9Cz0tuDiY8C3ctxq1tqvaCgkFb8cCA/edit?usp=sharing"",""หนองคาย!J196"")"),0)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IFERROR(__xludf.DUMMYFUNCTION("IMPORTRANGE(""https://docs.google.com/spreadsheets/d/1XL5vhW3sbDhbH9Cz0tuDiY8C3ctxq1tqvaCgkFb8cCA/edit?usp=sharing"",""หนองคาย!I199"")"),0)</f>
        <v>0</v>
      </c>
      <c r="J289" s="316">
        <f ca="1">IFERROR(__xludf.DUMMYFUNCTION("IMPORTRANGE(""https://docs.google.com/spreadsheets/d/1XL5vhW3sbDhbH9Cz0tuDiY8C3ctxq1tqvaCgkFb8cCA/edit?usp=sharing"",""หนองคาย!J199"")"),0)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IFERROR(__xludf.DUMMYFUNCTION("IMPORTRANGE(""https://docs.google.com/spreadsheets/d/1Yj_ptqi66GCucihVvJfMjLAmec39IyEx_6qawtMGysU/edit?usp=sharing"",""สบก!CT53"")"),0)</f>
        <v>0</v>
      </c>
      <c r="N294" s="538">
        <f ca="1">IFERROR(__xludf.DUMMYFUNCTION("IMPORTRANGE(""https://docs.google.com/spreadsheets/d/1Yj_ptqi66GCucihVvJfMjLAmec39IyEx_6qawtMGysU/edit?usp=sharing"",""สบก!CU53"")"),0)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IFERROR(__xludf.DUMMYFUNCTION("IMPORTRANGE(""https://docs.google.com/spreadsheets/d/1Yj_ptqi66GCucihVvJfMjLAmec39IyEx_6qawtMGysU/edit?usp=sharing"",""สบก!CP53"")"),0)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IFERROR(__xludf.DUMMYFUNCTION("IMPORTRANGE(""https://docs.google.com/spreadsheets/d/1Yj_ptqi66GCucihVvJfMjLAmec39IyEx_6qawtMGysU/edit?usp=sharing"",""สบก!CQ53"")"),0)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IFERROR(__xludf.DUMMYFUNCTION("IMPORTRANGE(""https://docs.google.com/spreadsheets/d/1Yj_ptqi66GCucihVvJfMjLAmec39IyEx_6qawtMGysU/edit?usp=sharing"",""สบก!CR53"")"),0)</f>
        <v>0</v>
      </c>
      <c r="M298" s="536"/>
      <c r="N298" s="533">
        <f ca="1">IFERROR(__xludf.DUMMYFUNCTION("IMPORTRANGE(""https://docs.google.com/spreadsheets/d/1Yj_ptqi66GCucihVvJfMjLAmec39IyEx_6qawtMGysU/edit?usp=sharing"",""สบก!CV53"")"),0)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IFERROR(__xludf.DUMMYFUNCTION("IMPORTRANGE(""https://docs.google.com/spreadsheets/d/1XL5vhW3sbDhbH9Cz0tuDiY8C3ctxq1tqvaCgkFb8cCA/edit?usp=sharing"",""หนองคาย!I209"")"),0)</f>
        <v>0</v>
      </c>
      <c r="J304" s="205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IFERROR(__xludf.DUMMYFUNCTION("IMPORTRANGE(""https://docs.google.com/spreadsheets/d/1XL5vhW3sbDhbH9Cz0tuDiY8C3ctxq1tqvaCgkFb8cCA/edit?usp=sharing"",""หนองคาย!I211"")"),0)</f>
        <v>0</v>
      </c>
      <c r="J306" s="205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IFERROR(__xludf.DUMMYFUNCTION("IMPORTRANGE(""https://docs.google.com/spreadsheets/d/1XL5vhW3sbDhbH9Cz0tuDiY8C3ctxq1tqvaCgkFb8cCA/edit?usp=sharing"",""หนองคาย!I214"")"),0)</f>
        <v>0</v>
      </c>
      <c r="J309" s="333">
        <f ca="1">IFERROR(__xludf.DUMMYFUNCTION("IMPORTRANGE(""https://docs.google.com/spreadsheets/d/1XL5vhW3sbDhbH9Cz0tuDiY8C3ctxq1tqvaCgkFb8cCA/edit?usp=sharing"",""หนองคาย!J214"")"),0)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IFERROR(__xludf.DUMMYFUNCTION("IMPORTRANGE(""https://docs.google.com/spreadsheets/d/1Yj_ptqi66GCucihVvJfMjLAmec39IyEx_6qawtMGysU/edit?usp=sharing"",""สบก!DC53"")"),0)</f>
        <v>0</v>
      </c>
      <c r="N314" s="538">
        <f ca="1">IFERROR(__xludf.DUMMYFUNCTION("IMPORTRANGE(""https://docs.google.com/spreadsheets/d/1Yj_ptqi66GCucihVvJfMjLAmec39IyEx_6qawtMGysU/edit?usp=sharing"",""สบก!DD53"")"),0)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IFERROR(__xludf.DUMMYFUNCTION("IMPORTRANGE(""https://docs.google.com/spreadsheets/d/1Yj_ptqi66GCucihVvJfMjLAmec39IyEx_6qawtMGysU/edit?usp=sharing"",""สบก!CY53"")"),0)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IFERROR(__xludf.DUMMYFUNCTION("IMPORTRANGE(""https://docs.google.com/spreadsheets/d/1Yj_ptqi66GCucihVvJfMjLAmec39IyEx_6qawtMGysU/edit?usp=sharing"",""สบก!CZ53"")"),0)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IFERROR(__xludf.DUMMYFUNCTION("IMPORTRANGE(""https://docs.google.com/spreadsheets/d/1Yj_ptqi66GCucihVvJfMjLAmec39IyEx_6qawtMGysU/edit?usp=sharing"",""สบก!DA53"")"),0)</f>
        <v>0</v>
      </c>
      <c r="M318" s="536"/>
      <c r="N318" s="533">
        <f ca="1">IFERROR(__xludf.DUMMYFUNCTION("IMPORTRANGE(""https://docs.google.com/spreadsheets/d/1Yj_ptqi66GCucihVvJfMjLAmec39IyEx_6qawtMGysU/edit?usp=sharing"",""สบก!DE53"")"),0)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IFERROR(__xludf.DUMMYFUNCTION("IMPORTRANGE(""https://docs.google.com/spreadsheets/d/1XL5vhW3sbDhbH9Cz0tuDiY8C3ctxq1tqvaCgkFb8cCA/edit?usp=sharing"",""หนองคาย!I224"")"),0)</f>
        <v>0</v>
      </c>
      <c r="J324" s="205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IFERROR(__xludf.DUMMYFUNCTION("IMPORTRANGE(""https://docs.google.com/spreadsheets/d/1XL5vhW3sbDhbH9Cz0tuDiY8C3ctxq1tqvaCgkFb8cCA/edit?usp=sharing"",""หนองคาย!I228"")"),650)</f>
        <v>650</v>
      </c>
      <c r="J328" s="339">
        <f ca="1">IFERROR(__xludf.DUMMYFUNCTION("IMPORTRANGE(""https://docs.google.com/spreadsheets/d/1XL5vhW3sbDhbH9Cz0tuDiY8C3ctxq1tqvaCgkFb8cCA/edit?usp=sharing"",""หนองคาย!J228"")"),14)</f>
        <v>14</v>
      </c>
      <c r="K328" s="317">
        <f ca="1">IF(I328&gt;0,J328*100/I328,0)</f>
        <v>2.1538461538461537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1197130</v>
      </c>
      <c r="M329" s="152">
        <f t="shared" ca="1" si="98"/>
        <v>751830</v>
      </c>
      <c r="N329" s="152">
        <f t="shared" ca="1" si="98"/>
        <v>661808</v>
      </c>
      <c r="O329" s="151">
        <f t="shared" ref="O329:O331" ca="1" si="99">IF(L329&gt;0,N329*100/L329,0)</f>
        <v>55.282884899718496</v>
      </c>
      <c r="P329" s="151">
        <f t="shared" ref="P329:P331" ca="1" si="100">IF(M329&gt;0,N329*100/M329,0)</f>
        <v>88.026282537275719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1197130</v>
      </c>
      <c r="M331" s="157">
        <f t="shared" ca="1" si="102"/>
        <v>751830</v>
      </c>
      <c r="N331" s="157">
        <f t="shared" ca="1" si="102"/>
        <v>661808</v>
      </c>
      <c r="O331" s="156">
        <f t="shared" ca="1" si="99"/>
        <v>55.282884899718496</v>
      </c>
      <c r="P331" s="156">
        <f t="shared" ca="1" si="100"/>
        <v>88.026282537275719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1011130</v>
      </c>
      <c r="M333" s="537">
        <f ca="1">IFERROR(__xludf.DUMMYFUNCTION("IMPORTRANGE(""https://docs.google.com/spreadsheets/d/1Yj_ptqi66GCucihVvJfMjLAmec39IyEx_6qawtMGysU/edit?usp=sharing"",""สบก!DL53"")"),565830)</f>
        <v>565830</v>
      </c>
      <c r="N333" s="538">
        <f ca="1">IFERROR(__xludf.DUMMYFUNCTION("IMPORTRANGE(""https://docs.google.com/spreadsheets/d/1Yj_ptqi66GCucihVvJfMjLAmec39IyEx_6qawtMGysU/edit?usp=sharing"",""สบก!DM53"")"),475808)</f>
        <v>475808</v>
      </c>
      <c r="O333" s="170">
        <f ca="1">IF(L333&gt;0,N333*100/L333,0)</f>
        <v>47.057054978093817</v>
      </c>
      <c r="P333" s="170">
        <f ca="1">IF(M333&gt;0,N333*100/M333,0)</f>
        <v>84.09027446406165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IFERROR(__xludf.DUMMYFUNCTION("IMPORTRANGE(""https://docs.google.com/spreadsheets/d/1Yj_ptqi66GCucihVvJfMjLAmec39IyEx_6qawtMGysU/edit?usp=sharing"",""สบก!DH53"")"),417600)</f>
        <v>417600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IFERROR(__xludf.DUMMYFUNCTION("IMPORTRANGE(""https://docs.google.com/spreadsheets/d/1Yj_ptqi66GCucihVvJfMjLAmec39IyEx_6qawtMGysU/edit?usp=sharing"",""สบก!DI53"")"),593530)</f>
        <v>593530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IFERROR(__xludf.DUMMYFUNCTION("IMPORTRANGE(""https://docs.google.com/spreadsheets/d/1Yj_ptqi66GCucihVvJfMjLAmec39IyEx_6qawtMGysU/edit?usp=sharing"",""สบก!DJ53"")"),186000)</f>
        <v>186000</v>
      </c>
      <c r="M337" s="536">
        <f ca="1">L337</f>
        <v>186000</v>
      </c>
      <c r="N337" s="533">
        <f ca="1">IFERROR(__xludf.DUMMYFUNCTION("IMPORTRANGE(""https://docs.google.com/spreadsheets/d/1Yj_ptqi66GCucihVvJfMjLAmec39IyEx_6qawtMGysU/edit?usp=sharing"",""สบก!DN53"")"),186000)</f>
        <v>186000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IFERROR(__xludf.DUMMYFUNCTION("IMPORTRANGE(""https://docs.google.com/spreadsheets/d/1XL5vhW3sbDhbH9Cz0tuDiY8C3ctxq1tqvaCgkFb8cCA/edit?usp=sharing"",""หนองคาย!I234"")"),0)</f>
        <v>0</v>
      </c>
      <c r="J339" s="189">
        <f ca="1">IFERROR(__xludf.DUMMYFUNCTION("IMPORTRANGE(""https://docs.google.com/spreadsheets/d/1XL5vhW3sbDhbH9Cz0tuDiY8C3ctxq1tqvaCgkFb8cCA/edit?usp=sharing"",""หนองคาย!J234"")"),59)</f>
        <v>59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IFERROR(__xludf.DUMMYFUNCTION("IMPORTRANGE(""https://docs.google.com/spreadsheets/d/1XL5vhW3sbDhbH9Cz0tuDiY8C3ctxq1tqvaCgkFb8cCA/edit?usp=sharing"",""หนองคาย!I235"")"),3376)</f>
        <v>3376</v>
      </c>
      <c r="J340" s="189">
        <f ca="1">IFERROR(__xludf.DUMMYFUNCTION("IMPORTRANGE(""https://docs.google.com/spreadsheets/d/1XL5vhW3sbDhbH9Cz0tuDiY8C3ctxq1tqvaCgkFb8cCA/edit?usp=sharing"",""หนองคาย!J235"")"),486.62)</f>
        <v>486.62</v>
      </c>
      <c r="K340" s="342">
        <f t="shared" ca="1" si="103"/>
        <v>14.414099526066352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IFERROR(__xludf.DUMMYFUNCTION("IMPORTRANGE(""https://docs.google.com/spreadsheets/d/1XL5vhW3sbDhbH9Cz0tuDiY8C3ctxq1tqvaCgkFb8cCA/edit?usp=sharing"",""หนองคาย!I236"")"),650)</f>
        <v>650</v>
      </c>
      <c r="J341" s="189">
        <f ca="1">IFERROR(__xludf.DUMMYFUNCTION("IMPORTRANGE(""https://docs.google.com/spreadsheets/d/1XL5vhW3sbDhbH9Cz0tuDiY8C3ctxq1tqvaCgkFb8cCA/edit?usp=sharing"",""หนองคาย!J236"")"),160)</f>
        <v>160</v>
      </c>
      <c r="K341" s="342">
        <f t="shared" ca="1" si="103"/>
        <v>24.615384615384617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9">
        <f ca="1">IFERROR(__xludf.DUMMYFUNCTION("IMPORTRANGE(""https://docs.google.com/spreadsheets/d/1XL5vhW3sbDhbH9Cz0tuDiY8C3ctxq1tqvaCgkFb8cCA/edit?usp=sharing"",""หนองคาย!J237"")"),2095.21)</f>
        <v>2095.21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IFERROR(__xludf.DUMMYFUNCTION("IMPORTRANGE(""https://docs.google.com/spreadsheets/d/1XL5vhW3sbDhbH9Cz0tuDiY8C3ctxq1tqvaCgkFb8cCA/edit?usp=sharing"",""หนองคาย!I238"")"),650)</f>
        <v>650</v>
      </c>
      <c r="J343" s="189">
        <f ca="1">IFERROR(__xludf.DUMMYFUNCTION("IMPORTRANGE(""https://docs.google.com/spreadsheets/d/1XL5vhW3sbDhbH9Cz0tuDiY8C3ctxq1tqvaCgkFb8cCA/edit?usp=sharing"",""หนองคาย!J238"")"),0)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9">
        <f ca="1">IFERROR(__xludf.DUMMYFUNCTION("IMPORTRANGE(""https://docs.google.com/spreadsheets/d/1XL5vhW3sbDhbH9Cz0tuDiY8C3ctxq1tqvaCgkFb8cCA/edit?usp=sharing"",""หนองคาย!J239"")"),0)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IFERROR(__xludf.DUMMYFUNCTION("IMPORTRANGE(""https://docs.google.com/spreadsheets/d/1XL5vhW3sbDhbH9Cz0tuDiY8C3ctxq1tqvaCgkFb8cCA/edit?usp=sharing"",""หนองคาย!I240"")"),650)</f>
        <v>650</v>
      </c>
      <c r="J345" s="189">
        <f ca="1">IFERROR(__xludf.DUMMYFUNCTION("IMPORTRANGE(""https://docs.google.com/spreadsheets/d/1XL5vhW3sbDhbH9Cz0tuDiY8C3ctxq1tqvaCgkFb8cCA/edit?usp=sharing"",""หนองคาย!J240"")"),14)</f>
        <v>14</v>
      </c>
      <c r="K345" s="342">
        <f t="shared" ca="1" si="103"/>
        <v>2.1538461538461537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9">
        <f ca="1">IFERROR(__xludf.DUMMYFUNCTION("IMPORTRANGE(""https://docs.google.com/spreadsheets/d/1XL5vhW3sbDhbH9Cz0tuDiY8C3ctxq1tqvaCgkFb8cCA/edit?usp=sharing"",""หนองคาย!J241"")"),248.15)</f>
        <v>248.15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IFERROR(__xludf.DUMMYFUNCTION("IMPORTRANGE(""https://docs.google.com/spreadsheets/d/1XL5vhW3sbDhbH9Cz0tuDiY8C3ctxq1tqvaCgkFb8cCA/edit?usp=sharing"",""หนองคาย!L242"")"),2542856)</f>
        <v>2542856</v>
      </c>
      <c r="M347" s="358"/>
      <c r="N347" s="358">
        <f ca="1">IFERROR(__xludf.DUMMYFUNCTION("IMPORTRANGE(""https://docs.google.com/spreadsheets/d/1XL5vhW3sbDhbH9Cz0tuDiY8C3ctxq1tqvaCgkFb8cCA/edit?usp=sharing"",""หนองคาย!M242"")"),734638.16)</f>
        <v>734638.16</v>
      </c>
      <c r="O347" s="358">
        <f ca="1">+IF(L347&gt;0,N347*100/L347,0)</f>
        <v>28.890277703495595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IFERROR(__xludf.DUMMYFUNCTION("IMPORTRANGE(""https://docs.google.com/spreadsheets/d/1XL5vhW3sbDhbH9Cz0tuDiY8C3ctxq1tqvaCgkFb8cCA/edit?usp=sharing"",""หนองคาย!M244"")"),207556.86)</f>
        <v>207556.86</v>
      </c>
      <c r="O349" s="373">
        <f ca="1">+IF(L349&gt;0,N349*100/L349,0)</f>
        <v>32.676856953934319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IFERROR(__xludf.DUMMYFUNCTION("IMPORTRANGE(""https://docs.google.com/spreadsheets/d/1XL5vhW3sbDhbH9Cz0tuDiY8C3ctxq1tqvaCgkFb8cCA/edit?usp=sharing"",""หนองคาย!L246"")"),0)</f>
        <v>0</v>
      </c>
      <c r="M351" s="166"/>
      <c r="N351" s="166">
        <f ca="1">IFERROR(__xludf.DUMMYFUNCTION("IMPORTRANGE(""https://docs.google.com/spreadsheets/d/1XL5vhW3sbDhbH9Cz0tuDiY8C3ctxq1tqvaCgkFb8cCA/edit?usp=sharing"",""หนองคาย!M246"")"),0)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IFERROR(__xludf.DUMMYFUNCTION("IMPORTRANGE(""https://docs.google.com/spreadsheets/d/1XL5vhW3sbDhbH9Cz0tuDiY8C3ctxq1tqvaCgkFb8cCA/edit?usp=sharing"",""หนองคาย!L247"")"),635180)</f>
        <v>635180</v>
      </c>
      <c r="M352" s="167"/>
      <c r="N352" s="166">
        <f ca="1">IFERROR(__xludf.DUMMYFUNCTION("IMPORTRANGE(""https://docs.google.com/spreadsheets/d/1XL5vhW3sbDhbH9Cz0tuDiY8C3ctxq1tqvaCgkFb8cCA/edit?usp=sharing"",""หนองคาย!M247"")"),207556.86)</f>
        <v>207556.86</v>
      </c>
      <c r="O352" s="167">
        <f t="shared" ca="1" si="105"/>
        <v>32.676856953934319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IFERROR(__xludf.DUMMYFUNCTION("IMPORTRANGE(""https://docs.google.com/spreadsheets/d/1XL5vhW3sbDhbH9Cz0tuDiY8C3ctxq1tqvaCgkFb8cCA/edit?usp=sharing"",""หนองคาย!L248"")"),0)</f>
        <v>0</v>
      </c>
      <c r="M353" s="170"/>
      <c r="N353" s="170">
        <f ca="1">IFERROR(__xludf.DUMMYFUNCTION("IMPORTRANGE(""https://docs.google.com/spreadsheets/d/1XL5vhW3sbDhbH9Cz0tuDiY8C3ctxq1tqvaCgkFb8cCA/edit?usp=sharing"",""หนองคาย!M248"")"),0)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IFERROR(__xludf.DUMMYFUNCTION("IMPORTRANGE(""https://docs.google.com/spreadsheets/d/1XL5vhW3sbDhbH9Cz0tuDiY8C3ctxq1tqvaCgkFb8cCA/edit?usp=sharing"",""หนองคาย!L249"")"),635180)</f>
        <v>635180</v>
      </c>
      <c r="M354" s="170"/>
      <c r="N354" s="169">
        <f ca="1">IFERROR(__xludf.DUMMYFUNCTION("IMPORTRANGE(""https://docs.google.com/spreadsheets/d/1XL5vhW3sbDhbH9Cz0tuDiY8C3ctxq1tqvaCgkFb8cCA/edit?usp=sharing"",""หนองคาย!M249"")"),207556.86)</f>
        <v>207556.86</v>
      </c>
      <c r="O354" s="170">
        <f t="shared" ca="1" si="105"/>
        <v>32.676856953934319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IFERROR(__xludf.DUMMYFUNCTION("IMPORTRANGE(""https://docs.google.com/spreadsheets/d/1XL5vhW3sbDhbH9Cz0tuDiY8C3ctxq1tqvaCgkFb8cCA/edit?usp=sharing"",""หนองคาย!M250"")"),92700)</f>
        <v>92700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IFERROR(__xludf.DUMMYFUNCTION("IMPORTRANGE(""https://docs.google.com/spreadsheets/d/1XL5vhW3sbDhbH9Cz0tuDiY8C3ctxq1tqvaCgkFb8cCA/edit?usp=sharing"",""หนองคาย!M251"")"),46600)</f>
        <v>46600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IFERROR(__xludf.DUMMYFUNCTION("IMPORTRANGE(""https://docs.google.com/spreadsheets/d/1XL5vhW3sbDhbH9Cz0tuDiY8C3ctxq1tqvaCgkFb8cCA/edit?usp=sharing"",""หนองคาย!M252"")"),49665.65)</f>
        <v>49665.65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IFERROR(__xludf.DUMMYFUNCTION("IMPORTRANGE(""https://docs.google.com/spreadsheets/d/1XL5vhW3sbDhbH9Cz0tuDiY8C3ctxq1tqvaCgkFb8cCA/edit?usp=sharing"",""หนองคาย!M253"")"),18591.21)</f>
        <v>18591.21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IFERROR(__xludf.DUMMYFUNCTION("IMPORTRANGE(""https://docs.google.com/spreadsheets/d/1XL5vhW3sbDhbH9Cz0tuDiY8C3ctxq1tqvaCgkFb8cCA/edit?usp=sharing"",""หนองคาย!J255"")"),0)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IFERROR(__xludf.DUMMYFUNCTION("IMPORTRANGE(""https://docs.google.com/spreadsheets/d/1XL5vhW3sbDhbH9Cz0tuDiY8C3ctxq1tqvaCgkFb8cCA/edit?usp=sharing"",""หนองคาย!J256"")"),1)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IFERROR(__xludf.DUMMYFUNCTION("IMPORTRANGE(""https://docs.google.com/spreadsheets/d/1XL5vhW3sbDhbH9Cz0tuDiY8C3ctxq1tqvaCgkFb8cCA/edit?usp=sharing"",""หนองคาย!J257"")"),1)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IFERROR(__xludf.DUMMYFUNCTION("IMPORTRANGE(""https://docs.google.com/spreadsheets/d/1XL5vhW3sbDhbH9Cz0tuDiY8C3ctxq1tqvaCgkFb8cCA/edit?usp=sharing"",""หนองคาย!J258"")"),1)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IFERROR(__xludf.DUMMYFUNCTION("IMPORTRANGE(""https://docs.google.com/spreadsheets/d/1XL5vhW3sbDhbH9Cz0tuDiY8C3ctxq1tqvaCgkFb8cCA/edit?usp=sharing"",""หนองคาย!J166"")"),0)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IFERROR(__xludf.DUMMYFUNCTION("IMPORTRANGE(""https://docs.google.com/spreadsheets/d/1XL5vhW3sbDhbH9Cz0tuDiY8C3ctxq1tqvaCgkFb8cCA/edit?usp=sharing"",""หนองคาย!J166"")"),0)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IFERROR(__xludf.DUMMYFUNCTION("IMPORTRANGE(""https://docs.google.com/spreadsheets/d/1XL5vhW3sbDhbH9Cz0tuDiY8C3ctxq1tqvaCgkFb8cCA/edit?usp=sharing"",""หนองคาย!J166"")"),0)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IFERROR(__xludf.DUMMYFUNCTION("IMPORTRANGE(""https://docs.google.com/spreadsheets/d/1XL5vhW3sbDhbH9Cz0tuDiY8C3ctxq1tqvaCgkFb8cCA/edit?usp=sharing"",""หนองคาย!J166"")"),0)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IFERROR(__xludf.DUMMYFUNCTION("IMPORTRANGE(""https://docs.google.com/spreadsheets/d/1XL5vhW3sbDhbH9Cz0tuDiY8C3ctxq1tqvaCgkFb8cCA/edit?usp=sharing"",""หนองคาย!I263"")"),90)</f>
        <v>90</v>
      </c>
      <c r="J368" s="189">
        <f ca="1">IFERROR(__xludf.DUMMYFUNCTION("IMPORTRANGE(""https://docs.google.com/spreadsheets/d/1XL5vhW3sbDhbH9Cz0tuDiY8C3ctxq1tqvaCgkFb8cCA/edit?usp=sharing"",""หนองคาย!J263"")"),0)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IFERROR(__xludf.DUMMYFUNCTION("IMPORTRANGE(""https://docs.google.com/spreadsheets/d/1XL5vhW3sbDhbH9Cz0tuDiY8C3ctxq1tqvaCgkFb8cCA/edit?usp=sharing"",""หนองคาย!I164"")"),0)</f>
        <v>0</v>
      </c>
      <c r="J369" s="205">
        <f ca="1">IFERROR(__xludf.DUMMYFUNCTION("IMPORTRANGE(""https://docs.google.com/spreadsheets/d/1XL5vhW3sbDhbH9Cz0tuDiY8C3ctxq1tqvaCgkFb8cCA/edit?usp=sharing"",""หนองคาย!J164"")"),0)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IFERROR(__xludf.DUMMYFUNCTION("IMPORTRANGE(""https://docs.google.com/spreadsheets/d/1XL5vhW3sbDhbH9Cz0tuDiY8C3ctxq1tqvaCgkFb8cCA/edit?usp=sharing"",""หนองคาย!I265"")"),90)</f>
        <v>90</v>
      </c>
      <c r="J370" s="205">
        <f ca="1">IFERROR(__xludf.DUMMYFUNCTION("IMPORTRANGE(""https://docs.google.com/spreadsheets/d/1XL5vhW3sbDhbH9Cz0tuDiY8C3ctxq1tqvaCgkFb8cCA/edit?usp=sharing"",""หนองคาย!J265"")"),90)</f>
        <v>90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IFERROR(__xludf.DUMMYFUNCTION("IMPORTRANGE(""https://docs.google.com/spreadsheets/d/1XL5vhW3sbDhbH9Cz0tuDiY8C3ctxq1tqvaCgkFb8cCA/edit?usp=sharing"",""หนองคาย!I164"")"),0)</f>
        <v>0</v>
      </c>
      <c r="J371" s="190">
        <f ca="1">IFERROR(__xludf.DUMMYFUNCTION("IMPORTRANGE(""https://docs.google.com/spreadsheets/d/1XL5vhW3sbDhbH9Cz0tuDiY8C3ctxq1tqvaCgkFb8cCA/edit?usp=sharing"",""หนองคาย!J164"")"),0)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IFERROR(__xludf.DUMMYFUNCTION("IMPORTRANGE(""https://docs.google.com/spreadsheets/d/1XL5vhW3sbDhbH9Cz0tuDiY8C3ctxq1tqvaCgkFb8cCA/edit?usp=sharing"",""หนองคาย!I267"")"),90)</f>
        <v>90</v>
      </c>
      <c r="J372" s="190">
        <f ca="1">IFERROR(__xludf.DUMMYFUNCTION("IMPORTRANGE(""https://docs.google.com/spreadsheets/d/1XL5vhW3sbDhbH9Cz0tuDiY8C3ctxq1tqvaCgkFb8cCA/edit?usp=sharing"",""หนองคาย!J267"")"),0)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IFERROR(__xludf.DUMMYFUNCTION("IMPORTRANGE(""https://docs.google.com/spreadsheets/d/1XL5vhW3sbDhbH9Cz0tuDiY8C3ctxq1tqvaCgkFb8cCA/edit?usp=sharing"",""หนองคาย!I164"")"),0)</f>
        <v>0</v>
      </c>
      <c r="J373" s="205">
        <f ca="1">IFERROR(__xludf.DUMMYFUNCTION("IMPORTRANGE(""https://docs.google.com/spreadsheets/d/1XL5vhW3sbDhbH9Cz0tuDiY8C3ctxq1tqvaCgkFb8cCA/edit?usp=sharing"",""หนองคาย!J164"")"),0)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IFERROR(__xludf.DUMMYFUNCTION("IMPORTRANGE(""https://docs.google.com/spreadsheets/d/1XL5vhW3sbDhbH9Cz0tuDiY8C3ctxq1tqvaCgkFb8cCA/edit?usp=sharing"",""หนองคาย!I164"")"),0)</f>
        <v>0</v>
      </c>
      <c r="J374" s="189">
        <f ca="1">IFERROR(__xludf.DUMMYFUNCTION("IMPORTRANGE(""https://docs.google.com/spreadsheets/d/1XL5vhW3sbDhbH9Cz0tuDiY8C3ctxq1tqvaCgkFb8cCA/edit?usp=sharing"",""หนองคาย!J164"")"),0)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IFERROR(__xludf.DUMMYFUNCTION("IMPORTRANGE(""https://docs.google.com/spreadsheets/d/1XL5vhW3sbDhbH9Cz0tuDiY8C3ctxq1tqvaCgkFb8cCA/edit?usp=sharing"",""หนองคาย!I270"")"),400)</f>
        <v>400</v>
      </c>
      <c r="J375" s="189">
        <f ca="1">IFERROR(__xludf.DUMMYFUNCTION("IMPORTRANGE(""https://docs.google.com/spreadsheets/d/1XL5vhW3sbDhbH9Cz0tuDiY8C3ctxq1tqvaCgkFb8cCA/edit?usp=sharing"",""หนองคาย!J270"")"),0)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IFERROR(__xludf.DUMMYFUNCTION("IMPORTRANGE(""https://docs.google.com/spreadsheets/d/1XL5vhW3sbDhbH9Cz0tuDiY8C3ctxq1tqvaCgkFb8cCA/edit?usp=sharing"",""หนองคาย!I271"")"),100)</f>
        <v>100</v>
      </c>
      <c r="J376" s="190">
        <f ca="1">IFERROR(__xludf.DUMMYFUNCTION("IMPORTRANGE(""https://docs.google.com/spreadsheets/d/1XL5vhW3sbDhbH9Cz0tuDiY8C3ctxq1tqvaCgkFb8cCA/edit?usp=sharing"",""หนองคาย!J271"")"),0)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IFERROR(__xludf.DUMMYFUNCTION("IMPORTRANGE(""https://docs.google.com/spreadsheets/d/1XL5vhW3sbDhbH9Cz0tuDiY8C3ctxq1tqvaCgkFb8cCA/edit?usp=sharing"",""หนองคาย!I272"")"),300)</f>
        <v>300</v>
      </c>
      <c r="J377" s="205">
        <f ca="1">IFERROR(__xludf.DUMMYFUNCTION("IMPORTRANGE(""https://docs.google.com/spreadsheets/d/1XL5vhW3sbDhbH9Cz0tuDiY8C3ctxq1tqvaCgkFb8cCA/edit?usp=sharing"",""หนองคาย!J272"")"),0)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IFERROR(__xludf.DUMMYFUNCTION("IMPORTRANGE(""https://docs.google.com/spreadsheets/d/1XL5vhW3sbDhbH9Cz0tuDiY8C3ctxq1tqvaCgkFb8cCA/edit?usp=sharing"",""หนองคาย!J273"")"),0)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IFERROR(__xludf.DUMMYFUNCTION("IMPORTRANGE(""https://docs.google.com/spreadsheets/d/1XL5vhW3sbDhbH9Cz0tuDiY8C3ctxq1tqvaCgkFb8cCA/edit?usp=sharing"",""หนองคาย!M275"")"),61441)</f>
        <v>61441</v>
      </c>
      <c r="O380" s="373">
        <f ca="1">+IF(L380&gt;0,N380*100/L380,0)</f>
        <v>13.352675272743078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IFERROR(__xludf.DUMMYFUNCTION("IMPORTRANGE(""https://docs.google.com/spreadsheets/d/1XL5vhW3sbDhbH9Cz0tuDiY8C3ctxq1tqvaCgkFb8cCA/edit?usp=sharing"",""หนองคาย!L277"")"),0)</f>
        <v>0</v>
      </c>
      <c r="M382" s="166"/>
      <c r="N382" s="166">
        <f ca="1">IFERROR(__xludf.DUMMYFUNCTION("IMPORTRANGE(""https://docs.google.com/spreadsheets/d/1XL5vhW3sbDhbH9Cz0tuDiY8C3ctxq1tqvaCgkFb8cCA/edit?usp=sharing"",""หนองคาย!M277"")"),0)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IFERROR(__xludf.DUMMYFUNCTION("IMPORTRANGE(""https://docs.google.com/spreadsheets/d/1XL5vhW3sbDhbH9Cz0tuDiY8C3ctxq1tqvaCgkFb8cCA/edit?usp=sharing"",""หนองคาย!L278"")"),460140)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IFERROR(__xludf.DUMMYFUNCTION("IMPORTRANGE(""https://docs.google.com/spreadsheets/d/1XL5vhW3sbDhbH9Cz0tuDiY8C3ctxq1tqvaCgkFb8cCA/edit?usp=sharing"",""หนองคาย!M278"")"),61441)</f>
        <v>61441</v>
      </c>
      <c r="O383" s="167">
        <f t="shared" ca="1" si="109"/>
        <v>13.352675272743078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IFERROR(__xludf.DUMMYFUNCTION("IMPORTRANGE(""https://docs.google.com/spreadsheets/d/1XL5vhW3sbDhbH9Cz0tuDiY8C3ctxq1tqvaCgkFb8cCA/edit?usp=sharing"",""หนองคาย!L279"")"),0)</f>
        <v>0</v>
      </c>
      <c r="M384" s="170"/>
      <c r="N384" s="170">
        <f ca="1">IFERROR(__xludf.DUMMYFUNCTION("IMPORTRANGE(""https://docs.google.com/spreadsheets/d/1XL5vhW3sbDhbH9Cz0tuDiY8C3ctxq1tqvaCgkFb8cCA/edit?usp=sharing"",""หนองคาย!M279"")"),0)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IFERROR(__xludf.DUMMYFUNCTION("IMPORTRANGE(""https://docs.google.com/spreadsheets/d/1XL5vhW3sbDhbH9Cz0tuDiY8C3ctxq1tqvaCgkFb8cCA/edit?usp=sharing"",""หนองคาย!L280"")"),460140)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IFERROR(__xludf.DUMMYFUNCTION("IMPORTRANGE(""https://docs.google.com/spreadsheets/d/1XL5vhW3sbDhbH9Cz0tuDiY8C3ctxq1tqvaCgkFb8cCA/edit?usp=sharing"",""หนองคาย!M280"")"),61441)</f>
        <v>61441</v>
      </c>
      <c r="O385" s="170">
        <f t="shared" ca="1" si="109"/>
        <v>13.352675272743078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IFERROR(__xludf.DUMMYFUNCTION("IMPORTRANGE(""https://docs.google.com/spreadsheets/d/1XL5vhW3sbDhbH9Cz0tuDiY8C3ctxq1tqvaCgkFb8cCA/edit?usp=sharing"",""หนองคาย!M281"")"),56201)</f>
        <v>56201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IFERROR(__xludf.DUMMYFUNCTION("IMPORTRANGE(""https://docs.google.com/spreadsheets/d/1XL5vhW3sbDhbH9Cz0tuDiY8C3ctxq1tqvaCgkFb8cCA/edit?usp=sharing"",""หนองคาย!M282"")"),0)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IFERROR(__xludf.DUMMYFUNCTION("IMPORTRANGE(""https://docs.google.com/spreadsheets/d/1XL5vhW3sbDhbH9Cz0tuDiY8C3ctxq1tqvaCgkFb8cCA/edit?usp=sharing"",""หนองคาย!M284"")"),5240)</f>
        <v>5240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IFERROR(__xludf.DUMMYFUNCTION("IMPORTRANGE(""https://docs.google.com/spreadsheets/d/1XL5vhW3sbDhbH9Cz0tuDiY8C3ctxq1tqvaCgkFb8cCA/edit?usp=sharing"",""หนองคาย!J286"")"),0)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IFERROR(__xludf.DUMMYFUNCTION("IMPORTRANGE(""https://docs.google.com/spreadsheets/d/1XL5vhW3sbDhbH9Cz0tuDiY8C3ctxq1tqvaCgkFb8cCA/edit?usp=sharing"",""หนองคาย!J287"")"),1)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IFERROR(__xludf.DUMMYFUNCTION("IMPORTRANGE(""https://docs.google.com/spreadsheets/d/1XL5vhW3sbDhbH9Cz0tuDiY8C3ctxq1tqvaCgkFb8cCA/edit?usp=sharing"",""หนองคาย!J288"")"),1)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IFERROR(__xludf.DUMMYFUNCTION("IMPORTRANGE(""https://docs.google.com/spreadsheets/d/1XL5vhW3sbDhbH9Cz0tuDiY8C3ctxq1tqvaCgkFb8cCA/edit?usp=sharing"",""หนองคาย!J289"")"),1)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IFERROR(__xludf.DUMMYFUNCTION("IMPORTRANGE(""https://docs.google.com/spreadsheets/d/1XL5vhW3sbDhbH9Cz0tuDiY8C3ctxq1tqvaCgkFb8cCA/edit?usp=sharing"",""หนองคาย!I291"")"),50)</f>
        <v>50</v>
      </c>
      <c r="J396" s="199">
        <f ca="1">IFERROR(__xludf.DUMMYFUNCTION("IMPORTRANGE(""https://docs.google.com/spreadsheets/d/1XL5vhW3sbDhbH9Cz0tuDiY8C3ctxq1tqvaCgkFb8cCA/edit?usp=sharing"",""หนองคาย!J291"")"),50)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IFERROR(__xludf.DUMMYFUNCTION("IMPORTRANGE(""https://docs.google.com/spreadsheets/d/1XL5vhW3sbDhbH9Cz0tuDiY8C3ctxq1tqvaCgkFb8cCA/edit?usp=sharing"",""หนองคาย!I292"")"),500)</f>
        <v>500</v>
      </c>
      <c r="J397" s="199">
        <f ca="1">IFERROR(__xludf.DUMMYFUNCTION("IMPORTRANGE(""https://docs.google.com/spreadsheets/d/1XL5vhW3sbDhbH9Cz0tuDiY8C3ctxq1tqvaCgkFb8cCA/edit?usp=sharing"",""หนองคาย!J292"")"),0)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IFERROR(__xludf.DUMMYFUNCTION("IMPORTRANGE(""https://docs.google.com/spreadsheets/d/1XL5vhW3sbDhbH9Cz0tuDiY8C3ctxq1tqvaCgkFb8cCA/edit?usp=sharing"",""หนองคาย!I293"")"),50)</f>
        <v>50</v>
      </c>
      <c r="J398" s="199">
        <f ca="1">IFERROR(__xludf.DUMMYFUNCTION("IMPORTRANGE(""https://docs.google.com/spreadsheets/d/1XL5vhW3sbDhbH9Cz0tuDiY8C3ctxq1tqvaCgkFb8cCA/edit?usp=sharing"",""หนองคาย!J293"")"),0)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IFERROR(__xludf.DUMMYFUNCTION("IMPORTRANGE(""https://docs.google.com/spreadsheets/d/1XL5vhW3sbDhbH9Cz0tuDiY8C3ctxq1tqvaCgkFb8cCA/edit?usp=sharing"",""หนองคาย!J294"")"),0)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IFERROR(__xludf.DUMMYFUNCTION("IMPORTRANGE(""https://docs.google.com/spreadsheets/d/1XL5vhW3sbDhbH9Cz0tuDiY8C3ctxq1tqvaCgkFb8cCA/edit?usp=sharing"",""หนองคาย!J296"")"),75)</f>
        <v>75</v>
      </c>
      <c r="K401" s="372">
        <f t="shared" ref="K401:K402" ca="1" si="111">IF(I401&gt;0,J401*100/I401,0)</f>
        <v>45.454545454545453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IFERROR(__xludf.DUMMYFUNCTION("IMPORTRANGE(""https://docs.google.com/spreadsheets/d/1XL5vhW3sbDhbH9Cz0tuDiY8C3ctxq1tqvaCgkFb8cCA/edit?usp=sharing"",""หนองคาย!M296"")"),123107.95)</f>
        <v>123107.95</v>
      </c>
      <c r="O401" s="373">
        <f ca="1">+IF(L401&gt;0,N401*100/L401,0)</f>
        <v>63.69080138651767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IFERROR(__xludf.DUMMYFUNCTION("IMPORTRANGE(""https://docs.google.com/spreadsheets/d/1XL5vhW3sbDhbH9Cz0tuDiY8C3ctxq1tqvaCgkFb8cCA/edit?usp=sharing"",""หนองคาย!L298"")"),0)</f>
        <v>0</v>
      </c>
      <c r="M403" s="166"/>
      <c r="N403" s="170">
        <f ca="1">IFERROR(__xludf.DUMMYFUNCTION("IMPORTRANGE(""https://docs.google.com/spreadsheets/d/1XL5vhW3sbDhbH9Cz0tuDiY8C3ctxq1tqvaCgkFb8cCA/edit?usp=sharing"",""หนองคาย!M298"")"),0)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IFERROR(__xludf.DUMMYFUNCTION("IMPORTRANGE(""https://docs.google.com/spreadsheets/d/1XL5vhW3sbDhbH9Cz0tuDiY8C3ctxq1tqvaCgkFb8cCA/edit?usp=sharing"",""หนองคาย!L299"")"),193290)</f>
        <v>193290</v>
      </c>
      <c r="M404" s="167"/>
      <c r="N404" s="170">
        <f ca="1">IFERROR(__xludf.DUMMYFUNCTION("IMPORTRANGE(""https://docs.google.com/spreadsheets/d/1XL5vhW3sbDhbH9Cz0tuDiY8C3ctxq1tqvaCgkFb8cCA/edit?usp=sharing"",""หนองคาย!M299"")"),123107.95)</f>
        <v>123107.95</v>
      </c>
      <c r="O404" s="170">
        <f t="shared" ca="1" si="112"/>
        <v>63.69080138651767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IFERROR(__xludf.DUMMYFUNCTION("IMPORTRANGE(""https://docs.google.com/spreadsheets/d/1XL5vhW3sbDhbH9Cz0tuDiY8C3ctxq1tqvaCgkFb8cCA/edit?usp=sharing"",""หนองคาย!L300"")"),0)</f>
        <v>0</v>
      </c>
      <c r="M405" s="170"/>
      <c r="N405" s="170">
        <f ca="1">IFERROR(__xludf.DUMMYFUNCTION("IMPORTRANGE(""https://docs.google.com/spreadsheets/d/1XL5vhW3sbDhbH9Cz0tuDiY8C3ctxq1tqvaCgkFb8cCA/edit?usp=sharing"",""หนองคาย!M300"")"),0)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IFERROR(__xludf.DUMMYFUNCTION("IMPORTRANGE(""https://docs.google.com/spreadsheets/d/1XL5vhW3sbDhbH9Cz0tuDiY8C3ctxq1tqvaCgkFb8cCA/edit?usp=sharing"",""หนองคาย!L301"")"),193290)</f>
        <v>193290</v>
      </c>
      <c r="M406" s="170"/>
      <c r="N406" s="170">
        <f ca="1">IFERROR(__xludf.DUMMYFUNCTION("IMPORTRANGE(""https://docs.google.com/spreadsheets/d/1XL5vhW3sbDhbH9Cz0tuDiY8C3ctxq1tqvaCgkFb8cCA/edit?usp=sharing"",""หนองคาย!M301"")"),123107.95)</f>
        <v>123107.95</v>
      </c>
      <c r="O406" s="170">
        <f t="shared" ca="1" si="112"/>
        <v>63.69080138651767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IFERROR(__xludf.DUMMYFUNCTION("IMPORTRANGE(""https://docs.google.com/spreadsheets/d/1XL5vhW3sbDhbH9Cz0tuDiY8C3ctxq1tqvaCgkFb8cCA/edit?usp=sharing"",""หนองคาย!M302"")"),118427.95)</f>
        <v>118427.95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IFERROR(__xludf.DUMMYFUNCTION("IMPORTRANGE(""https://docs.google.com/spreadsheets/d/1XL5vhW3sbDhbH9Cz0tuDiY8C3ctxq1tqvaCgkFb8cCA/edit?usp=sharing"",""หนองคาย!M303"")"),0)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IFERROR(__xludf.DUMMYFUNCTION("IMPORTRANGE(""https://docs.google.com/spreadsheets/d/1XL5vhW3sbDhbH9Cz0tuDiY8C3ctxq1tqvaCgkFb8cCA/edit?usp=sharing"",""หนองคาย!M305"")"),4680)</f>
        <v>4680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IFERROR(__xludf.DUMMYFUNCTION("IMPORTRANGE(""https://docs.google.com/spreadsheets/d/1XL5vhW3sbDhbH9Cz0tuDiY8C3ctxq1tqvaCgkFb8cCA/edit?usp=sharing"",""หนองคาย!J307"")"),0)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IFERROR(__xludf.DUMMYFUNCTION("IMPORTRANGE(""https://docs.google.com/spreadsheets/d/1XL5vhW3sbDhbH9Cz0tuDiY8C3ctxq1tqvaCgkFb8cCA/edit?usp=sharing"",""หนองคาย!J308"")"),1)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IFERROR(__xludf.DUMMYFUNCTION("IMPORTRANGE(""https://docs.google.com/spreadsheets/d/1XL5vhW3sbDhbH9Cz0tuDiY8C3ctxq1tqvaCgkFb8cCA/edit?usp=sharing"",""หนองคาย!J309"")"),1)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IFERROR(__xludf.DUMMYFUNCTION("IMPORTRANGE(""https://docs.google.com/spreadsheets/d/1XL5vhW3sbDhbH9Cz0tuDiY8C3ctxq1tqvaCgkFb8cCA/edit?usp=sharing"",""หนองคาย!J310"")"),1)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IFERROR(__xludf.DUMMYFUNCTION("IMPORTRANGE(""https://docs.google.com/spreadsheets/d/1XL5vhW3sbDhbH9Cz0tuDiY8C3ctxq1tqvaCgkFb8cCA/edit?usp=sharing"",""หนองคาย!I311"")"),55)</f>
        <v>55</v>
      </c>
      <c r="J416" s="202">
        <f ca="1">IFERROR(__xludf.DUMMYFUNCTION("IMPORTRANGE(""https://docs.google.com/spreadsheets/d/1XL5vhW3sbDhbH9Cz0tuDiY8C3ctxq1tqvaCgkFb8cCA/edit?usp=sharing"",""หนองคาย!J311"")"),0)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IFERROR(__xludf.DUMMYFUNCTION("IMPORTRANGE(""https://docs.google.com/spreadsheets/d/1XL5vhW3sbDhbH9Cz0tuDiY8C3ctxq1tqvaCgkFb8cCA/edit?usp=sharing"",""หนองคาย!J328"")"),0)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IFERROR(__xludf.DUMMYFUNCTION("IMPORTRANGE(""https://docs.google.com/spreadsheets/d/1XL5vhW3sbDhbH9Cz0tuDiY8C3ctxq1tqvaCgkFb8cCA/edit?usp=sharing"",""หนองคาย!M330"")"),34940)</f>
        <v>34940</v>
      </c>
      <c r="O435" s="412">
        <f t="shared" ref="O435:O439" ca="1" si="114">+IF(L435&gt;0,N435*100/L435,0)</f>
        <v>39.704545454545453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IFERROR(__xludf.DUMMYFUNCTION("IMPORTRANGE(""https://docs.google.com/spreadsheets/d/1XL5vhW3sbDhbH9Cz0tuDiY8C3ctxq1tqvaCgkFb8cCA/edit?usp=sharing"",""หนองคาย!L331"")"),0)</f>
        <v>0</v>
      </c>
      <c r="M436" s="166"/>
      <c r="N436" s="170">
        <f ca="1">IFERROR(__xludf.DUMMYFUNCTION("IMPORTRANGE(""https://docs.google.com/spreadsheets/d/1XL5vhW3sbDhbH9Cz0tuDiY8C3ctxq1tqvaCgkFb8cCA/edit?usp=sharing"",""หนองคาย!M331"")"),0)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IFERROR(__xludf.DUMMYFUNCTION("IMPORTRANGE(""https://docs.google.com/spreadsheets/d/1XL5vhW3sbDhbH9Cz0tuDiY8C3ctxq1tqvaCgkFb8cCA/edit?usp=sharing"",""หนองคาย!L332"")"),88000)</f>
        <v>88000</v>
      </c>
      <c r="M437" s="167"/>
      <c r="N437" s="170">
        <f ca="1">IFERROR(__xludf.DUMMYFUNCTION("IMPORTRANGE(""https://docs.google.com/spreadsheets/d/1XL5vhW3sbDhbH9Cz0tuDiY8C3ctxq1tqvaCgkFb8cCA/edit?usp=sharing"",""หนองคาย!M332"")"),34940)</f>
        <v>34940</v>
      </c>
      <c r="O437" s="170">
        <f t="shared" ca="1" si="114"/>
        <v>39.704545454545453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IFERROR(__xludf.DUMMYFUNCTION("IMPORTRANGE(""https://docs.google.com/spreadsheets/d/1XL5vhW3sbDhbH9Cz0tuDiY8C3ctxq1tqvaCgkFb8cCA/edit?usp=sharing"",""หนองคาย!L333"")"),0)</f>
        <v>0</v>
      </c>
      <c r="M438" s="170"/>
      <c r="N438" s="170">
        <f ca="1">IFERROR(__xludf.DUMMYFUNCTION("IMPORTRANGE(""https://docs.google.com/spreadsheets/d/1XL5vhW3sbDhbH9Cz0tuDiY8C3ctxq1tqvaCgkFb8cCA/edit?usp=sharing"",""หนองคาย!M333"")"),0)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IFERROR(__xludf.DUMMYFUNCTION("IMPORTRANGE(""https://docs.google.com/spreadsheets/d/1XL5vhW3sbDhbH9Cz0tuDiY8C3ctxq1tqvaCgkFb8cCA/edit?usp=sharing"",""หนองคาย!L334"")"),88000)</f>
        <v>88000</v>
      </c>
      <c r="M439" s="170"/>
      <c r="N439" s="170">
        <f ca="1">IFERROR(__xludf.DUMMYFUNCTION("IMPORTRANGE(""https://docs.google.com/spreadsheets/d/1XL5vhW3sbDhbH9Cz0tuDiY8C3ctxq1tqvaCgkFb8cCA/edit?usp=sharing"",""หนองคาย!M334"")"),34940)</f>
        <v>34940</v>
      </c>
      <c r="O439" s="170">
        <f t="shared" ca="1" si="114"/>
        <v>39.704545454545453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IFERROR(__xludf.DUMMYFUNCTION("IMPORTRANGE(""https://docs.google.com/spreadsheets/d/1XL5vhW3sbDhbH9Cz0tuDiY8C3ctxq1tqvaCgkFb8cCA/edit?usp=sharing"",""หนองคาย!M338"")"),2720)</f>
        <v>2720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IFERROR(__xludf.DUMMYFUNCTION("IMPORTRANGE(""https://docs.google.com/spreadsheets/d/1XL5vhW3sbDhbH9Cz0tuDiY8C3ctxq1tqvaCgkFb8cCA/edit?usp=sharing"",""หนองคาย!J342"")"),1)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IFERROR(__xludf.DUMMYFUNCTION("IMPORTRANGE(""https://docs.google.com/spreadsheets/d/1XL5vhW3sbDhbH9Cz0tuDiY8C3ctxq1tqvaCgkFb8cCA/edit?usp=sharing"",""หนองคาย!J343"")"),1)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2">
        <f ca="1">IFERROR(__xludf.DUMMYFUNCTION("IMPORTRANGE(""https://docs.google.com/spreadsheets/d/1XL5vhW3sbDhbH9Cz0tuDiY8C3ctxq1tqvaCgkFb8cCA/edit?usp=sharing"",""หนองคาย!J344"")"),15)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IFERROR(__xludf.DUMMYFUNCTION("IMPORTRANGE(""https://docs.google.com/spreadsheets/d/1XL5vhW3sbDhbH9Cz0tuDiY8C3ctxq1tqvaCgkFb8cCA/edit?usp=sharing"",""หนองคาย!I345"")"),15)</f>
        <v>15</v>
      </c>
      <c r="J450" s="190">
        <f ca="1">IFERROR(__xludf.DUMMYFUNCTION("IMPORTRANGE(""https://docs.google.com/spreadsheets/d/1XL5vhW3sbDhbH9Cz0tuDiY8C3ctxq1tqvaCgkFb8cCA/edit?usp=sharing"",""หนองคาย!J345"")"),15)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IFERROR(__xludf.DUMMYFUNCTION("IMPORTRANGE(""https://docs.google.com/spreadsheets/d/1XL5vhW3sbDhbH9Cz0tuDiY8C3ctxq1tqvaCgkFb8cCA/edit?usp=sharing"",""หนองคาย!I346"")"),0)</f>
        <v>0</v>
      </c>
      <c r="J451" s="189">
        <f ca="1">IFERROR(__xludf.DUMMYFUNCTION("IMPORTRANGE(""https://docs.google.com/spreadsheets/d/1XL5vhW3sbDhbH9Cz0tuDiY8C3ctxq1tqvaCgkFb8cCA/edit?usp=sharing"",""หนองคาย!J346"")"),0)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IFERROR(__xludf.DUMMYFUNCTION("IMPORTRANGE(""https://docs.google.com/spreadsheets/d/1XL5vhW3sbDhbH9Cz0tuDiY8C3ctxq1tqvaCgkFb8cCA/edit?usp=sharing"",""หนองคาย!I347"")"),0)</f>
        <v>0</v>
      </c>
      <c r="J452" s="189">
        <f ca="1">IFERROR(__xludf.DUMMYFUNCTION("IMPORTRANGE(""https://docs.google.com/spreadsheets/d/1XL5vhW3sbDhbH9Cz0tuDiY8C3ctxq1tqvaCgkFb8cCA/edit?usp=sharing"",""หนองคาย!J347"")"),0)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IFERROR(__xludf.DUMMYFUNCTION("IMPORTRANGE(""https://docs.google.com/spreadsheets/d/1XL5vhW3sbDhbH9Cz0tuDiY8C3ctxq1tqvaCgkFb8cCA/edit?usp=sharing"",""หนองคาย!J348"")"),0)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IFERROR(__xludf.DUMMYFUNCTION("IMPORTRANGE(""https://docs.google.com/spreadsheets/d/1XL5vhW3sbDhbH9Cz0tuDiY8C3ctxq1tqvaCgkFb8cCA/edit?usp=sharing"",""หนองคาย!L350"")"),861860)</f>
        <v>861860</v>
      </c>
      <c r="M455" s="373"/>
      <c r="N455" s="373">
        <f ca="1">IFERROR(__xludf.DUMMYFUNCTION("IMPORTRANGE(""https://docs.google.com/spreadsheets/d/1XL5vhW3sbDhbH9Cz0tuDiY8C3ctxq1tqvaCgkFb8cCA/edit?usp=sharing"",""หนองคาย!M350"")"),185562.35)</f>
        <v>185562.35</v>
      </c>
      <c r="O455" s="373">
        <f t="shared" ref="O455:O459" ca="1" si="116">+IF(L455&gt;0,N455*100/L455,0)</f>
        <v>21.530451581463346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IFERROR(__xludf.DUMMYFUNCTION("IMPORTRANGE(""https://docs.google.com/spreadsheets/d/1XL5vhW3sbDhbH9Cz0tuDiY8C3ctxq1tqvaCgkFb8cCA/edit?usp=sharing"",""หนองคาย!L351"")"),0)</f>
        <v>0</v>
      </c>
      <c r="M456" s="166"/>
      <c r="N456" s="170">
        <f ca="1">IFERROR(__xludf.DUMMYFUNCTION("IMPORTRANGE(""https://docs.google.com/spreadsheets/d/1XL5vhW3sbDhbH9Cz0tuDiY8C3ctxq1tqvaCgkFb8cCA/edit?usp=sharing"",""หนองคาย!M351"")"),0)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IFERROR(__xludf.DUMMYFUNCTION("IMPORTRANGE(""https://docs.google.com/spreadsheets/d/1XL5vhW3sbDhbH9Cz0tuDiY8C3ctxq1tqvaCgkFb8cCA/edit?usp=sharing"",""หนองคาย!L352"")"),861860)</f>
        <v>861860</v>
      </c>
      <c r="M457" s="167"/>
      <c r="N457" s="170">
        <f ca="1">IFERROR(__xludf.DUMMYFUNCTION("IMPORTRANGE(""https://docs.google.com/spreadsheets/d/1XL5vhW3sbDhbH9Cz0tuDiY8C3ctxq1tqvaCgkFb8cCA/edit?usp=sharing"",""หนองคาย!M352"")"),185562.35)</f>
        <v>185562.35</v>
      </c>
      <c r="O457" s="170">
        <f t="shared" ca="1" si="116"/>
        <v>21.530451581463346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IFERROR(__xludf.DUMMYFUNCTION("IMPORTRANGE(""https://docs.google.com/spreadsheets/d/1XL5vhW3sbDhbH9Cz0tuDiY8C3ctxq1tqvaCgkFb8cCA/edit?usp=sharing"",""หนองคาย!L353"")"),0)</f>
        <v>0</v>
      </c>
      <c r="M458" s="170"/>
      <c r="N458" s="170">
        <f ca="1">IFERROR(__xludf.DUMMYFUNCTION("IMPORTRANGE(""https://docs.google.com/spreadsheets/d/1XL5vhW3sbDhbH9Cz0tuDiY8C3ctxq1tqvaCgkFb8cCA/edit?usp=sharing"",""หนองคาย!M353"")"),0)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IFERROR(__xludf.DUMMYFUNCTION("IMPORTRANGE(""https://docs.google.com/spreadsheets/d/1XL5vhW3sbDhbH9Cz0tuDiY8C3ctxq1tqvaCgkFb8cCA/edit?usp=sharing"",""หนองคาย!L354"")"),861860)</f>
        <v>861860</v>
      </c>
      <c r="M459" s="170"/>
      <c r="N459" s="170">
        <f ca="1">IFERROR(__xludf.DUMMYFUNCTION("IMPORTRANGE(""https://docs.google.com/spreadsheets/d/1XL5vhW3sbDhbH9Cz0tuDiY8C3ctxq1tqvaCgkFb8cCA/edit?usp=sharing"",""หนองคาย!M354"")"),185562.35)</f>
        <v>185562.35</v>
      </c>
      <c r="O459" s="170">
        <f t="shared" ca="1" si="116"/>
        <v>21.530451581463346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IFERROR(__xludf.DUMMYFUNCTION("IMPORTRANGE(""https://docs.google.com/spreadsheets/d/1XL5vhW3sbDhbH9Cz0tuDiY8C3ctxq1tqvaCgkFb8cCA/edit?usp=sharing"",""หนองคาย!M355"")"),0)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IFERROR(__xludf.DUMMYFUNCTION("IMPORTRANGE(""https://docs.google.com/spreadsheets/d/1XL5vhW3sbDhbH9Cz0tuDiY8C3ctxq1tqvaCgkFb8cCA/edit?usp=sharing"",""หนองคาย!M356"")"),0)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IFERROR(__xludf.DUMMYFUNCTION("IMPORTRANGE(""https://docs.google.com/spreadsheets/d/1XL5vhW3sbDhbH9Cz0tuDiY8C3ctxq1tqvaCgkFb8cCA/edit?usp=sharing"",""หนองคาย!M357"")"),34833.35)</f>
        <v>34833.35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IFERROR(__xludf.DUMMYFUNCTION("IMPORTRANGE(""https://docs.google.com/spreadsheets/d/1XL5vhW3sbDhbH9Cz0tuDiY8C3ctxq1tqvaCgkFb8cCA/edit?usp=sharing"",""หนองคาย!M358"")"),150729)</f>
        <v>150729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IFERROR(__xludf.DUMMYFUNCTION("IMPORTRANGE(""https://docs.google.com/spreadsheets/d/1XL5vhW3sbDhbH9Cz0tuDiY8C3ctxq1tqvaCgkFb8cCA/edit?usp=sharing"",""หนองคาย!J360"")"),26149.1)</f>
        <v>26149.1</v>
      </c>
      <c r="K465" s="203">
        <f t="shared" ca="1" si="117"/>
        <v>49.44708129266494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IFERROR(__xludf.DUMMYFUNCTION("IMPORTRANGE(""https://docs.google.com/spreadsheets/d/1XL5vhW3sbDhbH9Cz0tuDiY8C3ctxq1tqvaCgkFb8cCA/edit?usp=sharing"",""หนองคาย!J361"")"),2808)</f>
        <v>2808</v>
      </c>
      <c r="K466" s="203">
        <f t="shared" ca="1" si="117"/>
        <v>42.922653622745337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IFERROR(__xludf.DUMMYFUNCTION("IMPORTRANGE(""https://docs.google.com/spreadsheets/d/1XL5vhW3sbDhbH9Cz0tuDiY8C3ctxq1tqvaCgkFb8cCA/edit?usp=sharing"",""หนองคาย!I362"")"),0)</f>
        <v>0</v>
      </c>
      <c r="J467" s="190">
        <f ca="1">IFERROR(__xludf.DUMMYFUNCTION("IMPORTRANGE(""https://docs.google.com/spreadsheets/d/1XL5vhW3sbDhbH9Cz0tuDiY8C3ctxq1tqvaCgkFb8cCA/edit?usp=sharing"",""หนองคาย!J362"")"),23783.025)</f>
        <v>23783.025000000001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IFERROR(__xludf.DUMMYFUNCTION("IMPORTRANGE(""https://docs.google.com/spreadsheets/d/1XL5vhW3sbDhbH9Cz0tuDiY8C3ctxq1tqvaCgkFb8cCA/edit?usp=sharing"",""หนองคาย!I363"")"),0)</f>
        <v>0</v>
      </c>
      <c r="J468" s="190">
        <f ca="1">IFERROR(__xludf.DUMMYFUNCTION("IMPORTRANGE(""https://docs.google.com/spreadsheets/d/1XL5vhW3sbDhbH9Cz0tuDiY8C3ctxq1tqvaCgkFb8cCA/edit?usp=sharing"",""หนองคาย!J363"")"),2599)</f>
        <v>2599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IFERROR(__xludf.DUMMYFUNCTION("IMPORTRANGE(""https://docs.google.com/spreadsheets/d/1XL5vhW3sbDhbH9Cz0tuDiY8C3ctxq1tqvaCgkFb8cCA/edit?usp=sharing"",""หนองคาย!I364"")"),0)</f>
        <v>0</v>
      </c>
      <c r="J469" s="190">
        <f ca="1">IFERROR(__xludf.DUMMYFUNCTION("IMPORTRANGE(""https://docs.google.com/spreadsheets/d/1XL5vhW3sbDhbH9Cz0tuDiY8C3ctxq1tqvaCgkFb8cCA/edit?usp=sharing"",""หนองคาย!J364"")"),1351)</f>
        <v>1351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IFERROR(__xludf.DUMMYFUNCTION("IMPORTRANGE(""https://docs.google.com/spreadsheets/d/1XL5vhW3sbDhbH9Cz0tuDiY8C3ctxq1tqvaCgkFb8cCA/edit?usp=sharing"",""หนองคาย!I365"")"),0)</f>
        <v>0</v>
      </c>
      <c r="J470" s="190">
        <f ca="1">IFERROR(__xludf.DUMMYFUNCTION("IMPORTRANGE(""https://docs.google.com/spreadsheets/d/1XL5vhW3sbDhbH9Cz0tuDiY8C3ctxq1tqvaCgkFb8cCA/edit?usp=sharing"",""หนองคาย!J365"")"),137)</f>
        <v>137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IFERROR(__xludf.DUMMYFUNCTION("IMPORTRANGE(""https://docs.google.com/spreadsheets/d/1XL5vhW3sbDhbH9Cz0tuDiY8C3ctxq1tqvaCgkFb8cCA/edit?usp=sharing"",""หนองคาย!I366"")"),0)</f>
        <v>0</v>
      </c>
      <c r="J471" s="190">
        <f ca="1">IFERROR(__xludf.DUMMYFUNCTION("IMPORTRANGE(""https://docs.google.com/spreadsheets/d/1XL5vhW3sbDhbH9Cz0tuDiY8C3ctxq1tqvaCgkFb8cCA/edit?usp=sharing"",""หนองคาย!J366"")"),1015.075)</f>
        <v>1015.075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IFERROR(__xludf.DUMMYFUNCTION("IMPORTRANGE(""https://docs.google.com/spreadsheets/d/1XL5vhW3sbDhbH9Cz0tuDiY8C3ctxq1tqvaCgkFb8cCA/edit?usp=sharing"",""หนองคาย!I367"")"),0)</f>
        <v>0</v>
      </c>
      <c r="J472" s="190">
        <f ca="1">IFERROR(__xludf.DUMMYFUNCTION("IMPORTRANGE(""https://docs.google.com/spreadsheets/d/1XL5vhW3sbDhbH9Cz0tuDiY8C3ctxq1tqvaCgkFb8cCA/edit?usp=sharing"",""หนองคาย!J367"")"),72)</f>
        <v>72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IFERROR(__xludf.DUMMYFUNCTION("IMPORTRANGE(""https://docs.google.com/spreadsheets/d/1XL5vhW3sbDhbH9Cz0tuDiY8C3ctxq1tqvaCgkFb8cCA/edit?usp=sharing"",""หนองคาย!I370"")"),0)</f>
        <v>0</v>
      </c>
      <c r="J475" s="190">
        <f ca="1">IFERROR(__xludf.DUMMYFUNCTION("IMPORTRANGE(""https://docs.google.com/spreadsheets/d/1XL5vhW3sbDhbH9Cz0tuDiY8C3ctxq1tqvaCgkFb8cCA/edit?usp=sharing"",""หนองคาย!J370"")"),0)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IFERROR(__xludf.DUMMYFUNCTION("IMPORTRANGE(""https://docs.google.com/spreadsheets/d/1XL5vhW3sbDhbH9Cz0tuDiY8C3ctxq1tqvaCgkFb8cCA/edit?usp=sharing"",""หนองคาย!I371"")"),0)</f>
        <v>0</v>
      </c>
      <c r="J476" s="190">
        <f ca="1">IFERROR(__xludf.DUMMYFUNCTION("IMPORTRANGE(""https://docs.google.com/spreadsheets/d/1XL5vhW3sbDhbH9Cz0tuDiY8C3ctxq1tqvaCgkFb8cCA/edit?usp=sharing"",""หนองคาย!J371"")"),0)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IFERROR(__xludf.DUMMYFUNCTION("IMPORTRANGE(""https://docs.google.com/spreadsheets/d/1XL5vhW3sbDhbH9Cz0tuDiY8C3ctxq1tqvaCgkFb8cCA/edit?usp=sharing"",""หนองคาย!I372"")"),0)</f>
        <v>0</v>
      </c>
      <c r="J477" s="190">
        <f ca="1">IFERROR(__xludf.DUMMYFUNCTION("IMPORTRANGE(""https://docs.google.com/spreadsheets/d/1XL5vhW3sbDhbH9Cz0tuDiY8C3ctxq1tqvaCgkFb8cCA/edit?usp=sharing"",""หนองคาย!J372"")"),0)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IFERROR(__xludf.DUMMYFUNCTION("IMPORTRANGE(""https://docs.google.com/spreadsheets/d/1XL5vhW3sbDhbH9Cz0tuDiY8C3ctxq1tqvaCgkFb8cCA/edit?usp=sharing"",""หนองคาย!I373"")"),0)</f>
        <v>0</v>
      </c>
      <c r="J478" s="190">
        <f ca="1">IFERROR(__xludf.DUMMYFUNCTION("IMPORTRANGE(""https://docs.google.com/spreadsheets/d/1XL5vhW3sbDhbH9Cz0tuDiY8C3ctxq1tqvaCgkFb8cCA/edit?usp=sharing"",""หนองคาย!J373"")"),0)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IFERROR(__xludf.DUMMYFUNCTION("IMPORTRANGE(""https://docs.google.com/spreadsheets/d/1XL5vhW3sbDhbH9Cz0tuDiY8C3ctxq1tqvaCgkFb8cCA/edit?usp=sharing"",""หนองคาย!I374"")"),0)</f>
        <v>0</v>
      </c>
      <c r="J479" s="190">
        <f ca="1">IFERROR(__xludf.DUMMYFUNCTION("IMPORTRANGE(""https://docs.google.com/spreadsheets/d/1XL5vhW3sbDhbH9Cz0tuDiY8C3ctxq1tqvaCgkFb8cCA/edit?usp=sharing"",""หนองคาย!J374"")"),0)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IFERROR(__xludf.DUMMYFUNCTION("IMPORTRANGE(""https://docs.google.com/spreadsheets/d/1XL5vhW3sbDhbH9Cz0tuDiY8C3ctxq1tqvaCgkFb8cCA/edit?usp=sharing"",""หนองคาย!I375"")"),0)</f>
        <v>0</v>
      </c>
      <c r="J480" s="190">
        <f ca="1">IFERROR(__xludf.DUMMYFUNCTION("IMPORTRANGE(""https://docs.google.com/spreadsheets/d/1XL5vhW3sbDhbH9Cz0tuDiY8C3ctxq1tqvaCgkFb8cCA/edit?usp=sharing"",""หนองคาย!J375"")"),0)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IFERROR(__xludf.DUMMYFUNCTION("IMPORTRANGE(""https://docs.google.com/spreadsheets/d/1XL5vhW3sbDhbH9Cz0tuDiY8C3ctxq1tqvaCgkFb8cCA/edit?usp=sharing"",""หนองคาย!I378"")"),0)</f>
        <v>0</v>
      </c>
      <c r="J483" s="190">
        <f ca="1">IFERROR(__xludf.DUMMYFUNCTION("IMPORTRANGE(""https://docs.google.com/spreadsheets/d/1XL5vhW3sbDhbH9Cz0tuDiY8C3ctxq1tqvaCgkFb8cCA/edit?usp=sharing"",""หนองคาย!J378"")"),0)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IFERROR(__xludf.DUMMYFUNCTION("IMPORTRANGE(""https://docs.google.com/spreadsheets/d/1XL5vhW3sbDhbH9Cz0tuDiY8C3ctxq1tqvaCgkFb8cCA/edit?usp=sharing"",""หนองคาย!I379"")"),0)</f>
        <v>0</v>
      </c>
      <c r="J484" s="190">
        <f ca="1">IFERROR(__xludf.DUMMYFUNCTION("IMPORTRANGE(""https://docs.google.com/spreadsheets/d/1XL5vhW3sbDhbH9Cz0tuDiY8C3ctxq1tqvaCgkFb8cCA/edit?usp=sharing"",""หนองคาย!J379"")"),0)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IFERROR(__xludf.DUMMYFUNCTION("IMPORTRANGE(""https://docs.google.com/spreadsheets/d/1XL5vhW3sbDhbH9Cz0tuDiY8C3ctxq1tqvaCgkFb8cCA/edit?usp=sharing"",""หนองคาย!I380"")"),0)</f>
        <v>0</v>
      </c>
      <c r="J485" s="190">
        <f ca="1">IFERROR(__xludf.DUMMYFUNCTION("IMPORTRANGE(""https://docs.google.com/spreadsheets/d/1XL5vhW3sbDhbH9Cz0tuDiY8C3ctxq1tqvaCgkFb8cCA/edit?usp=sharing"",""หนองคาย!J380"")"),0)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IFERROR(__xludf.DUMMYFUNCTION("IMPORTRANGE(""https://docs.google.com/spreadsheets/d/1XL5vhW3sbDhbH9Cz0tuDiY8C3ctxq1tqvaCgkFb8cCA/edit?usp=sharing"",""หนองคาย!I381"")"),0)</f>
        <v>0</v>
      </c>
      <c r="J486" s="190">
        <f ca="1">IFERROR(__xludf.DUMMYFUNCTION("IMPORTRANGE(""https://docs.google.com/spreadsheets/d/1XL5vhW3sbDhbH9Cz0tuDiY8C3ctxq1tqvaCgkFb8cCA/edit?usp=sharing"",""หนองคาย!J381"")"),0)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IFERROR(__xludf.DUMMYFUNCTION("IMPORTRANGE(""https://docs.google.com/spreadsheets/d/1XL5vhW3sbDhbH9Cz0tuDiY8C3ctxq1tqvaCgkFb8cCA/edit?usp=sharing"",""หนองคาย!I384"")"),0)</f>
        <v>0</v>
      </c>
      <c r="J489" s="190">
        <f ca="1">IFERROR(__xludf.DUMMYFUNCTION("IMPORTRANGE(""https://docs.google.com/spreadsheets/d/1XL5vhW3sbDhbH9Cz0tuDiY8C3ctxq1tqvaCgkFb8cCA/edit?usp=sharing"",""หนองคาย!J384"")"),0)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IFERROR(__xludf.DUMMYFUNCTION("IMPORTRANGE(""https://docs.google.com/spreadsheets/d/1XL5vhW3sbDhbH9Cz0tuDiY8C3ctxq1tqvaCgkFb8cCA/edit?usp=sharing"",""หนองคาย!I385"")"),0)</f>
        <v>0</v>
      </c>
      <c r="J490" s="190">
        <f ca="1">IFERROR(__xludf.DUMMYFUNCTION("IMPORTRANGE(""https://docs.google.com/spreadsheets/d/1XL5vhW3sbDhbH9Cz0tuDiY8C3ctxq1tqvaCgkFb8cCA/edit?usp=sharing"",""หนองคาย!J385"")"),0)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IFERROR(__xludf.DUMMYFUNCTION("IMPORTRANGE(""https://docs.google.com/spreadsheets/d/1XL5vhW3sbDhbH9Cz0tuDiY8C3ctxq1tqvaCgkFb8cCA/edit?usp=sharing"",""หนองคาย!I386"")"),0)</f>
        <v>0</v>
      </c>
      <c r="J491" s="190">
        <f ca="1">IFERROR(__xludf.DUMMYFUNCTION("IMPORTRANGE(""https://docs.google.com/spreadsheets/d/1XL5vhW3sbDhbH9Cz0tuDiY8C3ctxq1tqvaCgkFb8cCA/edit?usp=sharing"",""หนองคาย!J386"")"),0)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IFERROR(__xludf.DUMMYFUNCTION("IMPORTRANGE(""https://docs.google.com/spreadsheets/d/1XL5vhW3sbDhbH9Cz0tuDiY8C3ctxq1tqvaCgkFb8cCA/edit?usp=sharing"",""หนองคาย!I387"")"),0)</f>
        <v>0</v>
      </c>
      <c r="J492" s="190">
        <f ca="1">IFERROR(__xludf.DUMMYFUNCTION("IMPORTRANGE(""https://docs.google.com/spreadsheets/d/1XL5vhW3sbDhbH9Cz0tuDiY8C3ctxq1tqvaCgkFb8cCA/edit?usp=sharing"",""หนองคาย!J387"")"),0)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IFERROR(__xludf.DUMMYFUNCTION("IMPORTRANGE(""https://docs.google.com/spreadsheets/d/1XL5vhW3sbDhbH9Cz0tuDiY8C3ctxq1tqvaCgkFb8cCA/edit?usp=sharing"",""หนองคาย!I388"")"),0)</f>
        <v>0</v>
      </c>
      <c r="J493" s="190">
        <f ca="1">IFERROR(__xludf.DUMMYFUNCTION("IMPORTRANGE(""https://docs.google.com/spreadsheets/d/1XL5vhW3sbDhbH9Cz0tuDiY8C3ctxq1tqvaCgkFb8cCA/edit?usp=sharing"",""หนองคาย!J388"")"),0)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IFERROR(__xludf.DUMMYFUNCTION("IMPORTRANGE(""https://docs.google.com/spreadsheets/d/1XL5vhW3sbDhbH9Cz0tuDiY8C3ctxq1tqvaCgkFb8cCA/edit?usp=sharing"",""หนองคาย!I395"")"),0)</f>
        <v>0</v>
      </c>
      <c r="J500" s="164">
        <f ca="1">IFERROR(__xludf.DUMMYFUNCTION("IMPORTRANGE(""https://docs.google.com/spreadsheets/d/1XL5vhW3sbDhbH9Cz0tuDiY8C3ctxq1tqvaCgkFb8cCA/edit?usp=sharing"",""หนองคาย!J395"")"),0)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IFERROR(__xludf.DUMMYFUNCTION("IMPORTRANGE(""https://docs.google.com/spreadsheets/d/1XL5vhW3sbDhbH9Cz0tuDiY8C3ctxq1tqvaCgkFb8cCA/edit?usp=sharing"",""หนองคาย!I396"")"),0)</f>
        <v>0</v>
      </c>
      <c r="J501" s="164">
        <f ca="1">IFERROR(__xludf.DUMMYFUNCTION("IMPORTRANGE(""https://docs.google.com/spreadsheets/d/1XL5vhW3sbDhbH9Cz0tuDiY8C3ctxq1tqvaCgkFb8cCA/edit?usp=sharing"",""หนองคาย!J396"")"),0)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IFERROR(__xludf.DUMMYFUNCTION("IMPORTRANGE(""https://docs.google.com/spreadsheets/d/1XL5vhW3sbDhbH9Cz0tuDiY8C3ctxq1tqvaCgkFb8cCA/edit?usp=sharing"",""หนองคาย!I397"")"),0)</f>
        <v>0</v>
      </c>
      <c r="J502" s="190">
        <f ca="1">IFERROR(__xludf.DUMMYFUNCTION("IMPORTRANGE(""https://docs.google.com/spreadsheets/d/1XL5vhW3sbDhbH9Cz0tuDiY8C3ctxq1tqvaCgkFb8cCA/edit?usp=sharing"",""หนองคาย!J397"")"),0)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IFERROR(__xludf.DUMMYFUNCTION("IMPORTRANGE(""https://docs.google.com/spreadsheets/d/1XL5vhW3sbDhbH9Cz0tuDiY8C3ctxq1tqvaCgkFb8cCA/edit?usp=sharing"",""หนองคาย!I398"")"),0)</f>
        <v>0</v>
      </c>
      <c r="J503" s="199">
        <f ca="1">IFERROR(__xludf.DUMMYFUNCTION("IMPORTRANGE(""https://docs.google.com/spreadsheets/d/1XL5vhW3sbDhbH9Cz0tuDiY8C3ctxq1tqvaCgkFb8cCA/edit?usp=sharing"",""หนองคาย!J398"")"),0)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IFERROR(__xludf.DUMMYFUNCTION("IMPORTRANGE(""https://docs.google.com/spreadsheets/d/1XL5vhW3sbDhbH9Cz0tuDiY8C3ctxq1tqvaCgkFb8cCA/edit?usp=sharing"",""หนองคาย!I399"")"),0)</f>
        <v>0</v>
      </c>
      <c r="J504" s="190">
        <f ca="1">IFERROR(__xludf.DUMMYFUNCTION("IMPORTRANGE(""https://docs.google.com/spreadsheets/d/1XL5vhW3sbDhbH9Cz0tuDiY8C3ctxq1tqvaCgkFb8cCA/edit?usp=sharing"",""หนองคาย!J399"")"),0)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IFERROR(__xludf.DUMMYFUNCTION("IMPORTRANGE(""https://docs.google.com/spreadsheets/d/1XL5vhW3sbDhbH9Cz0tuDiY8C3ctxq1tqvaCgkFb8cCA/edit?usp=sharing"",""หนองคาย!I400"")"),0)</f>
        <v>0</v>
      </c>
      <c r="J505" s="199">
        <f ca="1">IFERROR(__xludf.DUMMYFUNCTION("IMPORTRANGE(""https://docs.google.com/spreadsheets/d/1XL5vhW3sbDhbH9Cz0tuDiY8C3ctxq1tqvaCgkFb8cCA/edit?usp=sharing"",""หนองคาย!J400"")"),0)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IFERROR(__xludf.DUMMYFUNCTION("IMPORTRANGE(""https://docs.google.com/spreadsheets/d/1XL5vhW3sbDhbH9Cz0tuDiY8C3ctxq1tqvaCgkFb8cCA/edit?usp=sharing"",""หนองคาย!I401"")"),0)</f>
        <v>0</v>
      </c>
      <c r="J506" s="190">
        <f ca="1">IFERROR(__xludf.DUMMYFUNCTION("IMPORTRANGE(""https://docs.google.com/spreadsheets/d/1XL5vhW3sbDhbH9Cz0tuDiY8C3ctxq1tqvaCgkFb8cCA/edit?usp=sharing"",""หนองคาย!J401"")"),0)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IFERROR(__xludf.DUMMYFUNCTION("IMPORTRANGE(""https://docs.google.com/spreadsheets/d/1XL5vhW3sbDhbH9Cz0tuDiY8C3ctxq1tqvaCgkFb8cCA/edit?usp=sharing"",""หนองคาย!I402"")"),0)</f>
        <v>0</v>
      </c>
      <c r="J507" s="199">
        <f ca="1">IFERROR(__xludf.DUMMYFUNCTION("IMPORTRANGE(""https://docs.google.com/spreadsheets/d/1XL5vhW3sbDhbH9Cz0tuDiY8C3ctxq1tqvaCgkFb8cCA/edit?usp=sharing"",""หนองคาย!J402"")"),0)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IFERROR(__xludf.DUMMYFUNCTION("IMPORTRANGE(""https://docs.google.com/spreadsheets/d/1XL5vhW3sbDhbH9Cz0tuDiY8C3ctxq1tqvaCgkFb8cCA/edit?usp=sharing"",""หนองคาย!I403"")"),0)</f>
        <v>0</v>
      </c>
      <c r="J508" s="164">
        <f ca="1">IFERROR(__xludf.DUMMYFUNCTION("IMPORTRANGE(""https://docs.google.com/spreadsheets/d/1XL5vhW3sbDhbH9Cz0tuDiY8C3ctxq1tqvaCgkFb8cCA/edit?usp=sharing"",""หนองคาย!J403"")"),0)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IFERROR(__xludf.DUMMYFUNCTION("IMPORTRANGE(""https://docs.google.com/spreadsheets/d/1XL5vhW3sbDhbH9Cz0tuDiY8C3ctxq1tqvaCgkFb8cCA/edit?usp=sharing"",""หนองคาย!I404"")"),0)</f>
        <v>0</v>
      </c>
      <c r="J509" s="164">
        <f ca="1">IFERROR(__xludf.DUMMYFUNCTION("IMPORTRANGE(""https://docs.google.com/spreadsheets/d/1XL5vhW3sbDhbH9Cz0tuDiY8C3ctxq1tqvaCgkFb8cCA/edit?usp=sharing"",""หนองคาย!J404"")"),0)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IFERROR(__xludf.DUMMYFUNCTION("IMPORTRANGE(""https://docs.google.com/spreadsheets/d/1XL5vhW3sbDhbH9Cz0tuDiY8C3ctxq1tqvaCgkFb8cCA/edit?usp=sharing"",""หนองคาย!I405"")"),0)</f>
        <v>0</v>
      </c>
      <c r="J510" s="199">
        <f ca="1">IFERROR(__xludf.DUMMYFUNCTION("IMPORTRANGE(""https://docs.google.com/spreadsheets/d/1XL5vhW3sbDhbH9Cz0tuDiY8C3ctxq1tqvaCgkFb8cCA/edit?usp=sharing"",""หนองคาย!J405"")"),0)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IFERROR(__xludf.DUMMYFUNCTION("IMPORTRANGE(""https://docs.google.com/spreadsheets/d/1XL5vhW3sbDhbH9Cz0tuDiY8C3ctxq1tqvaCgkFb8cCA/edit?usp=sharing"",""หนองคาย!I406"")"),0)</f>
        <v>0</v>
      </c>
      <c r="J511" s="199">
        <f ca="1">IFERROR(__xludf.DUMMYFUNCTION("IMPORTRANGE(""https://docs.google.com/spreadsheets/d/1XL5vhW3sbDhbH9Cz0tuDiY8C3ctxq1tqvaCgkFb8cCA/edit?usp=sharing"",""หนองคาย!J406"")"),0)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IFERROR(__xludf.DUMMYFUNCTION("IMPORTRANGE(""https://docs.google.com/spreadsheets/d/1XL5vhW3sbDhbH9Cz0tuDiY8C3ctxq1tqvaCgkFb8cCA/edit?usp=sharing"",""หนองคาย!I407"")"),0)</f>
        <v>0</v>
      </c>
      <c r="J512" s="199">
        <f ca="1">IFERROR(__xludf.DUMMYFUNCTION("IMPORTRANGE(""https://docs.google.com/spreadsheets/d/1XL5vhW3sbDhbH9Cz0tuDiY8C3ctxq1tqvaCgkFb8cCA/edit?usp=sharing"",""หนองคาย!J407"")"),0)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IFERROR(__xludf.DUMMYFUNCTION("IMPORTRANGE(""https://docs.google.com/spreadsheets/d/1XL5vhW3sbDhbH9Cz0tuDiY8C3ctxq1tqvaCgkFb8cCA/edit?usp=sharing"",""หนองคาย!I408"")"),0)</f>
        <v>0</v>
      </c>
      <c r="J513" s="199">
        <f ca="1">IFERROR(__xludf.DUMMYFUNCTION("IMPORTRANGE(""https://docs.google.com/spreadsheets/d/1XL5vhW3sbDhbH9Cz0tuDiY8C3ctxq1tqvaCgkFb8cCA/edit?usp=sharing"",""หนองคาย!J408"")"),0)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IFERROR(__xludf.DUMMYFUNCTION("IMPORTRANGE(""https://docs.google.com/spreadsheets/d/1XL5vhW3sbDhbH9Cz0tuDiY8C3ctxq1tqvaCgkFb8cCA/edit?usp=sharing"",""หนองคาย!I409"")"),0)</f>
        <v>0</v>
      </c>
      <c r="J514" s="199">
        <f ca="1">IFERROR(__xludf.DUMMYFUNCTION("IMPORTRANGE(""https://docs.google.com/spreadsheets/d/1XL5vhW3sbDhbH9Cz0tuDiY8C3ctxq1tqvaCgkFb8cCA/edit?usp=sharing"",""หนองคาย!J409"")"),0)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IFERROR(__xludf.DUMMYFUNCTION("IMPORTRANGE(""https://docs.google.com/spreadsheets/d/1XL5vhW3sbDhbH9Cz0tuDiY8C3ctxq1tqvaCgkFb8cCA/edit?usp=sharing"",""หนองคาย!I410"")"),0)</f>
        <v>0</v>
      </c>
      <c r="J515" s="199">
        <f ca="1">IFERROR(__xludf.DUMMYFUNCTION("IMPORTRANGE(""https://docs.google.com/spreadsheets/d/1XL5vhW3sbDhbH9Cz0tuDiY8C3ctxq1tqvaCgkFb8cCA/edit?usp=sharing"",""หนองคาย!J410"")"),0)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IFERROR(__xludf.DUMMYFUNCTION("IMPORTRANGE(""https://docs.google.com/spreadsheets/d/1XL5vhW3sbDhbH9Cz0tuDiY8C3ctxq1tqvaCgkFb8cCA/edit?usp=sharing"",""หนองคาย!I412"")"),0)</f>
        <v>0</v>
      </c>
      <c r="J517" s="284">
        <f ca="1">IFERROR(__xludf.DUMMYFUNCTION("IMPORTRANGE(""https://docs.google.com/spreadsheets/d/1XL5vhW3sbDhbH9Cz0tuDiY8C3ctxq1tqvaCgkFb8cCA/edit?usp=sharing"",""หนองคาย!J412"")"),0)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IFERROR(__xludf.DUMMYFUNCTION("IMPORTRANGE(""https://docs.google.com/spreadsheets/d/1XL5vhW3sbDhbH9Cz0tuDiY8C3ctxq1tqvaCgkFb8cCA/edit?usp=sharing"",""หนองคาย!I413"")"),0)</f>
        <v>0</v>
      </c>
      <c r="J518" s="284">
        <f ca="1">IFERROR(__xludf.DUMMYFUNCTION("IMPORTRANGE(""https://docs.google.com/spreadsheets/d/1XL5vhW3sbDhbH9Cz0tuDiY8C3ctxq1tqvaCgkFb8cCA/edit?usp=sharing"",""หนองคาย!J413"")"),0)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IFERROR(__xludf.DUMMYFUNCTION("IMPORTRANGE(""https://docs.google.com/spreadsheets/d/1XL5vhW3sbDhbH9Cz0tuDiY8C3ctxq1tqvaCgkFb8cCA/edit?usp=sharing"",""หนองคาย!I414"")"),0)</f>
        <v>0</v>
      </c>
      <c r="J519" s="189">
        <f ca="1">IFERROR(__xludf.DUMMYFUNCTION("IMPORTRANGE(""https://docs.google.com/spreadsheets/d/1XL5vhW3sbDhbH9Cz0tuDiY8C3ctxq1tqvaCgkFb8cCA/edit?usp=sharing"",""หนองคาย!J414"")"),0)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IFERROR(__xludf.DUMMYFUNCTION("IMPORTRANGE(""https://docs.google.com/spreadsheets/d/1XL5vhW3sbDhbH9Cz0tuDiY8C3ctxq1tqvaCgkFb8cCA/edit?usp=sharing"",""หนองคาย!I415"")"),0)</f>
        <v>0</v>
      </c>
      <c r="J520" s="189">
        <f ca="1">IFERROR(__xludf.DUMMYFUNCTION("IMPORTRANGE(""https://docs.google.com/spreadsheets/d/1XL5vhW3sbDhbH9Cz0tuDiY8C3ctxq1tqvaCgkFb8cCA/edit?usp=sharing"",""หนองคาย!J415"")"),0)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IFERROR(__xludf.DUMMYFUNCTION("IMPORTRANGE(""https://docs.google.com/spreadsheets/d/1XL5vhW3sbDhbH9Cz0tuDiY8C3ctxq1tqvaCgkFb8cCA/edit?usp=sharing"",""หนองคาย!I416"")"),0)</f>
        <v>0</v>
      </c>
      <c r="J521" s="189">
        <f ca="1">IFERROR(__xludf.DUMMYFUNCTION("IMPORTRANGE(""https://docs.google.com/spreadsheets/d/1XL5vhW3sbDhbH9Cz0tuDiY8C3ctxq1tqvaCgkFb8cCA/edit?usp=sharing"",""หนองคาย!J416"")"),0)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IFERROR(__xludf.DUMMYFUNCTION("IMPORTRANGE(""https://docs.google.com/spreadsheets/d/1XL5vhW3sbDhbH9Cz0tuDiY8C3ctxq1tqvaCgkFb8cCA/edit?usp=sharing"",""หนองคาย!I417"")"),0)</f>
        <v>0</v>
      </c>
      <c r="J522" s="189">
        <f ca="1">IFERROR(__xludf.DUMMYFUNCTION("IMPORTRANGE(""https://docs.google.com/spreadsheets/d/1XL5vhW3sbDhbH9Cz0tuDiY8C3ctxq1tqvaCgkFb8cCA/edit?usp=sharing"",""หนองคาย!J417"")"),0)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IFERROR(__xludf.DUMMYFUNCTION("IMPORTRANGE(""https://docs.google.com/spreadsheets/d/1XL5vhW3sbDhbH9Cz0tuDiY8C3ctxq1tqvaCgkFb8cCA/edit?usp=sharing"",""หนองคาย!I418"")"),0)</f>
        <v>0</v>
      </c>
      <c r="J523" s="189">
        <f ca="1">IFERROR(__xludf.DUMMYFUNCTION("IMPORTRANGE(""https://docs.google.com/spreadsheets/d/1XL5vhW3sbDhbH9Cz0tuDiY8C3ctxq1tqvaCgkFb8cCA/edit?usp=sharing"",""หนองคาย!J418"")"),0)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IFERROR(__xludf.DUMMYFUNCTION("IMPORTRANGE(""https://docs.google.com/spreadsheets/d/1XL5vhW3sbDhbH9Cz0tuDiY8C3ctxq1tqvaCgkFb8cCA/edit?usp=sharing"",""หนองคาย!I419"")"),0)</f>
        <v>0</v>
      </c>
      <c r="J524" s="189">
        <f ca="1">IFERROR(__xludf.DUMMYFUNCTION("IMPORTRANGE(""https://docs.google.com/spreadsheets/d/1XL5vhW3sbDhbH9Cz0tuDiY8C3ctxq1tqvaCgkFb8cCA/edit?usp=sharing"",""หนองคาย!J419"")"),0)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IFERROR(__xludf.DUMMYFUNCTION("IMPORTRANGE(""https://docs.google.com/spreadsheets/d/1XL5vhW3sbDhbH9Cz0tuDiY8C3ctxq1tqvaCgkFb8cCA/edit?usp=sharing"",""หนองคาย!I420"")"),0)</f>
        <v>0</v>
      </c>
      <c r="J525" s="284">
        <f ca="1">IFERROR(__xludf.DUMMYFUNCTION("IMPORTRANGE(""https://docs.google.com/spreadsheets/d/1XL5vhW3sbDhbH9Cz0tuDiY8C3ctxq1tqvaCgkFb8cCA/edit?usp=sharing"",""หนองคาย!J420"")"),0)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IFERROR(__xludf.DUMMYFUNCTION("IMPORTRANGE(""https://docs.google.com/spreadsheets/d/1XL5vhW3sbDhbH9Cz0tuDiY8C3ctxq1tqvaCgkFb8cCA/edit?usp=sharing"",""หนองคาย!I421"")"),0)</f>
        <v>0</v>
      </c>
      <c r="J526" s="284">
        <f ca="1">IFERROR(__xludf.DUMMYFUNCTION("IMPORTRANGE(""https://docs.google.com/spreadsheets/d/1XL5vhW3sbDhbH9Cz0tuDiY8C3ctxq1tqvaCgkFb8cCA/edit?usp=sharing"",""หนองคาย!J421"")"),0)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IFERROR(__xludf.DUMMYFUNCTION("IMPORTRANGE(""https://docs.google.com/spreadsheets/d/1XL5vhW3sbDhbH9Cz0tuDiY8C3ctxq1tqvaCgkFb8cCA/edit?usp=sharing"",""หนองคาย!I422"")"),0)</f>
        <v>0</v>
      </c>
      <c r="J527" s="199">
        <f ca="1">IFERROR(__xludf.DUMMYFUNCTION("IMPORTRANGE(""https://docs.google.com/spreadsheets/d/1XL5vhW3sbDhbH9Cz0tuDiY8C3ctxq1tqvaCgkFb8cCA/edit?usp=sharing"",""หนองคาย!J422"")"),0)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IFERROR(__xludf.DUMMYFUNCTION("IMPORTRANGE(""https://docs.google.com/spreadsheets/d/1XL5vhW3sbDhbH9Cz0tuDiY8C3ctxq1tqvaCgkFb8cCA/edit?usp=sharing"",""หนองคาย!I423"")"),0)</f>
        <v>0</v>
      </c>
      <c r="J528" s="199">
        <f ca="1">IFERROR(__xludf.DUMMYFUNCTION("IMPORTRANGE(""https://docs.google.com/spreadsheets/d/1XL5vhW3sbDhbH9Cz0tuDiY8C3ctxq1tqvaCgkFb8cCA/edit?usp=sharing"",""หนองคาย!J423"")"),0)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IFERROR(__xludf.DUMMYFUNCTION("IMPORTRANGE(""https://docs.google.com/spreadsheets/d/1XL5vhW3sbDhbH9Cz0tuDiY8C3ctxq1tqvaCgkFb8cCA/edit?usp=sharing"",""หนองคาย!I424"")"),0)</f>
        <v>0</v>
      </c>
      <c r="J529" s="199">
        <f ca="1">IFERROR(__xludf.DUMMYFUNCTION("IMPORTRANGE(""https://docs.google.com/spreadsheets/d/1XL5vhW3sbDhbH9Cz0tuDiY8C3ctxq1tqvaCgkFb8cCA/edit?usp=sharing"",""หนองคาย!J424"")"),0)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IFERROR(__xludf.DUMMYFUNCTION("IMPORTRANGE(""https://docs.google.com/spreadsheets/d/1XL5vhW3sbDhbH9Cz0tuDiY8C3ctxq1tqvaCgkFb8cCA/edit?usp=sharing"",""หนองคาย!I425"")"),0)</f>
        <v>0</v>
      </c>
      <c r="J530" s="199">
        <f ca="1">IFERROR(__xludf.DUMMYFUNCTION("IMPORTRANGE(""https://docs.google.com/spreadsheets/d/1XL5vhW3sbDhbH9Cz0tuDiY8C3ctxq1tqvaCgkFb8cCA/edit?usp=sharing"",""หนองคาย!J425"")"),0)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IFERROR(__xludf.DUMMYFUNCTION("IMPORTRANGE(""https://docs.google.com/spreadsheets/d/1XL5vhW3sbDhbH9Cz0tuDiY8C3ctxq1tqvaCgkFb8cCA/edit?usp=sharing"",""หนองคาย!I426"")"),0)</f>
        <v>0</v>
      </c>
      <c r="J531" s="199">
        <f ca="1">IFERROR(__xludf.DUMMYFUNCTION("IMPORTRANGE(""https://docs.google.com/spreadsheets/d/1XL5vhW3sbDhbH9Cz0tuDiY8C3ctxq1tqvaCgkFb8cCA/edit?usp=sharing"",""หนองคาย!J426"")"),0)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IFERROR(__xludf.DUMMYFUNCTION("IMPORTRANGE(""https://docs.google.com/spreadsheets/d/1XL5vhW3sbDhbH9Cz0tuDiY8C3ctxq1tqvaCgkFb8cCA/edit?usp=sharing"",""หนองคาย!L429"")"),0)</f>
        <v>0</v>
      </c>
      <c r="M534" s="166"/>
      <c r="N534" s="170">
        <f ca="1">IFERROR(__xludf.DUMMYFUNCTION("IMPORTRANGE(""https://docs.google.com/spreadsheets/d/1XL5vhW3sbDhbH9Cz0tuDiY8C3ctxq1tqvaCgkFb8cCA/edit?usp=sharing"",""หนองคาย!M429"")"),0)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IFERROR(__xludf.DUMMYFUNCTION("IMPORTRANGE(""https://docs.google.com/spreadsheets/d/1XL5vhW3sbDhbH9Cz0tuDiY8C3ctxq1tqvaCgkFb8cCA/edit?usp=sharing"",""หนองคาย!L430"")"),34340)</f>
        <v>34340</v>
      </c>
      <c r="M535" s="167"/>
      <c r="N535" s="170">
        <f ca="1">IFERROR(__xludf.DUMMYFUNCTION("IMPORTRANGE(""https://docs.google.com/spreadsheets/d/1XL5vhW3sbDhbH9Cz0tuDiY8C3ctxq1tqvaCgkFb8cCA/edit?usp=sharing"",""หนองคาย!M430"")"),27980)</f>
        <v>27980</v>
      </c>
      <c r="O535" s="170">
        <f t="shared" ca="1" si="118"/>
        <v>81.479324403028542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IFERROR(__xludf.DUMMYFUNCTION("IMPORTRANGE(""https://docs.google.com/spreadsheets/d/1XL5vhW3sbDhbH9Cz0tuDiY8C3ctxq1tqvaCgkFb8cCA/edit?usp=sharing"",""หนองคาย!L431"")"),0)</f>
        <v>0</v>
      </c>
      <c r="M536" s="170"/>
      <c r="N536" s="170">
        <f ca="1">IFERROR(__xludf.DUMMYFUNCTION("IMPORTRANGE(""https://docs.google.com/spreadsheets/d/1XL5vhW3sbDhbH9Cz0tuDiY8C3ctxq1tqvaCgkFb8cCA/edit?usp=sharing"",""หนองคาย!M431"")"),0)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IFERROR(__xludf.DUMMYFUNCTION("IMPORTRANGE(""https://docs.google.com/spreadsheets/d/1XL5vhW3sbDhbH9Cz0tuDiY8C3ctxq1tqvaCgkFb8cCA/edit?usp=sharing"",""หนองคาย!L432"")"),34340)</f>
        <v>34340</v>
      </c>
      <c r="M537" s="170"/>
      <c r="N537" s="170">
        <f ca="1">IFERROR(__xludf.DUMMYFUNCTION("IMPORTRANGE(""https://docs.google.com/spreadsheets/d/1XL5vhW3sbDhbH9Cz0tuDiY8C3ctxq1tqvaCgkFb8cCA/edit?usp=sharing"",""หนองคาย!M432"")"),27980)</f>
        <v>27980</v>
      </c>
      <c r="O537" s="170">
        <f t="shared" ca="1" si="118"/>
        <v>81.479324403028542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IFERROR(__xludf.DUMMYFUNCTION("IMPORTRANGE(""https://docs.google.com/spreadsheets/d/1XL5vhW3sbDhbH9Cz0tuDiY8C3ctxq1tqvaCgkFb8cCA/edit?usp=sharing"",""หนองคาย!J438"")"),0)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IFERROR(__xludf.DUMMYFUNCTION("IMPORTRANGE(""https://docs.google.com/spreadsheets/d/1XL5vhW3sbDhbH9Cz0tuDiY8C3ctxq1tqvaCgkFb8cCA/edit?usp=sharing"",""หนองคาย!J439"")"),1)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IFERROR(__xludf.DUMMYFUNCTION("IMPORTRANGE(""https://docs.google.com/spreadsheets/d/1XL5vhW3sbDhbH9Cz0tuDiY8C3ctxq1tqvaCgkFb8cCA/edit?usp=sharing"",""หนองคาย!J440"")"),1)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IFERROR(__xludf.DUMMYFUNCTION("IMPORTRANGE(""https://docs.google.com/spreadsheets/d/1XL5vhW3sbDhbH9Cz0tuDiY8C3ctxq1tqvaCgkFb8cCA/edit?usp=sharing"",""หนองคาย!J441"")"),1)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IFERROR(__xludf.DUMMYFUNCTION("IMPORTRANGE(""https://docs.google.com/spreadsheets/d/1XL5vhW3sbDhbH9Cz0tuDiY8C3ctxq1tqvaCgkFb8cCA/edit?usp=sharing"",""หนองคาย!I442"")"),22)</f>
        <v>22</v>
      </c>
      <c r="J547" s="190">
        <f ca="1">IFERROR(__xludf.DUMMYFUNCTION("IMPORTRANGE(""https://docs.google.com/spreadsheets/d/1XL5vhW3sbDhbH9Cz0tuDiY8C3ctxq1tqvaCgkFb8cCA/edit?usp=sharing"",""หนองคาย!J442"")"),22)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IFERROR(__xludf.DUMMYFUNCTION("IMPORTRANGE(""https://docs.google.com/spreadsheets/d/1XL5vhW3sbDhbH9Cz0tuDiY8C3ctxq1tqvaCgkFb8cCA/edit?usp=sharing"",""หนองคาย!J166"")"),0)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IFERROR(__xludf.DUMMYFUNCTION("IMPORTRANGE(""https://docs.google.com/spreadsheets/d/1XL5vhW3sbDhbH9Cz0tuDiY8C3ctxq1tqvaCgkFb8cCA/edit?usp=sharing"",""หนองคาย!J444"")"),0)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IFERROR(__xludf.DUMMYFUNCTION("IMPORTRANGE(""https://docs.google.com/spreadsheets/d/1XL5vhW3sbDhbH9Cz0tuDiY8C3ctxq1tqvaCgkFb8cCA/edit?usp=sharing"",""หนองคาย!L447"")"),0)</f>
        <v>0</v>
      </c>
      <c r="M552" s="166"/>
      <c r="N552" s="170">
        <f ca="1">IFERROR(__xludf.DUMMYFUNCTION("IMPORTRANGE(""https://docs.google.com/spreadsheets/d/1XL5vhW3sbDhbH9Cz0tuDiY8C3ctxq1tqvaCgkFb8cCA/edit?usp=sharing"",""หนองคาย!M447"")"),0)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IFERROR(__xludf.DUMMYFUNCTION("IMPORTRANGE(""https://docs.google.com/spreadsheets/d/1XL5vhW3sbDhbH9Cz0tuDiY8C3ctxq1tqvaCgkFb8cCA/edit?usp=sharing"",""หนองคาย!L448"")"),0)</f>
        <v>0</v>
      </c>
      <c r="M553" s="167"/>
      <c r="N553" s="170">
        <f ca="1">IFERROR(__xludf.DUMMYFUNCTION("IMPORTRANGE(""https://docs.google.com/spreadsheets/d/1XL5vhW3sbDhbH9Cz0tuDiY8C3ctxq1tqvaCgkFb8cCA/edit?usp=sharing"",""หนองคาย!M448"")"),0)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IFERROR(__xludf.DUMMYFUNCTION("IMPORTRANGE(""https://docs.google.com/spreadsheets/d/1XL5vhW3sbDhbH9Cz0tuDiY8C3ctxq1tqvaCgkFb8cCA/edit?usp=sharing"",""หนองคาย!L449"")"),0)</f>
        <v>0</v>
      </c>
      <c r="M554" s="170"/>
      <c r="N554" s="170">
        <f ca="1">IFERROR(__xludf.DUMMYFUNCTION("IMPORTRANGE(""https://docs.google.com/spreadsheets/d/1XL5vhW3sbDhbH9Cz0tuDiY8C3ctxq1tqvaCgkFb8cCA/edit?usp=sharing"",""หนองคาย!M449"")"),0)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IFERROR(__xludf.DUMMYFUNCTION("IMPORTRANGE(""https://docs.google.com/spreadsheets/d/1XL5vhW3sbDhbH9Cz0tuDiY8C3ctxq1tqvaCgkFb8cCA/edit?usp=sharing"",""หนองคาย!L450"")"),0)</f>
        <v>0</v>
      </c>
      <c r="M555" s="170"/>
      <c r="N555" s="170">
        <f ca="1">IFERROR(__xludf.DUMMYFUNCTION("IMPORTRANGE(""https://docs.google.com/spreadsheets/d/1XL5vhW3sbDhbH9Cz0tuDiY8C3ctxq1tqvaCgkFb8cCA/edit?usp=sharing"",""หนองคาย!M450"")"),0)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IFERROR(__xludf.DUMMYFUNCTION("IMPORTRANGE(""https://docs.google.com/spreadsheets/d/1XL5vhW3sbDhbH9Cz0tuDiY8C3ctxq1tqvaCgkFb8cCA/edit?usp=sharing"",""หนองคาย!M451"")"),0)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IFERROR(__xludf.DUMMYFUNCTION("IMPORTRANGE(""https://docs.google.com/spreadsheets/d/1XL5vhW3sbDhbH9Cz0tuDiY8C3ctxq1tqvaCgkFb8cCA/edit?usp=sharing"",""หนองคาย!M452"")"),0)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IFERROR(__xludf.DUMMYFUNCTION("IMPORTRANGE(""https://docs.google.com/spreadsheets/d/1XL5vhW3sbDhbH9Cz0tuDiY8C3ctxq1tqvaCgkFb8cCA/edit?usp=sharing"",""หนองคาย!M453"")"),0)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IFERROR(__xludf.DUMMYFUNCTION("IMPORTRANGE(""https://docs.google.com/spreadsheets/d/1XL5vhW3sbDhbH9Cz0tuDiY8C3ctxq1tqvaCgkFb8cCA/edit?usp=sharing"",""หนองคาย!M454"")"),0)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IFERROR(__xludf.DUMMYFUNCTION("IMPORTRANGE(""https://docs.google.com/spreadsheets/d/1XL5vhW3sbDhbH9Cz0tuDiY8C3ctxq1tqvaCgkFb8cCA/edit?usp=sharing"",""หนองคาย!I455"")"),0)</f>
        <v>0</v>
      </c>
      <c r="J560" s="164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IFERROR(__xludf.DUMMYFUNCTION("IMPORTRANGE(""https://docs.google.com/spreadsheets/d/1XL5vhW3sbDhbH9Cz0tuDiY8C3ctxq1tqvaCgkFb8cCA/edit?usp=sharing"",""หนองคาย!I456"")"),0)</f>
        <v>0</v>
      </c>
      <c r="J561" s="205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IFERROR(__xludf.DUMMYFUNCTION("IMPORTRANGE(""https://docs.google.com/spreadsheets/d/1XL5vhW3sbDhbH9Cz0tuDiY8C3ctxq1tqvaCgkFb8cCA/edit?usp=sharing"",""หนองคาย!I457"")"),0)</f>
        <v>0</v>
      </c>
      <c r="J562" s="205" t="str">
        <f ca="1">IFERROR(__xludf.DUMMYFUNCTION("IMPORTRANGE(""https://docs.google.com/spreadsheets/d/1XL5vhW3sbDhbH9Cz0tuDiY8C3ctxq1tqvaCgkFb8cCA/edit?usp=sharing"",""หนองคาย!J457"")"),"")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IFERROR(__xludf.DUMMYFUNCTION("IMPORTRANGE(""https://docs.google.com/spreadsheets/d/1XL5vhW3sbDhbH9Cz0tuDiY8C3ctxq1tqvaCgkFb8cCA/edit?usp=sharing"",""หนองคาย!I458"")"),0)</f>
        <v>0</v>
      </c>
      <c r="J563" s="189" t="str">
        <f ca="1">IFERROR(__xludf.DUMMYFUNCTION("IMPORTRANGE(""https://docs.google.com/spreadsheets/d/1XL5vhW3sbDhbH9Cz0tuDiY8C3ctxq1tqvaCgkFb8cCA/edit?usp=sharing"",""หนองคาย!J458"")"),"")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IFERROR(__xludf.DUMMYFUNCTION("IMPORTRANGE(""https://docs.google.com/spreadsheets/d/1XL5vhW3sbDhbH9Cz0tuDiY8C3ctxq1tqvaCgkFb8cCA/edit?usp=sharing"",""หนองคาย!J459"")"),2275)</f>
        <v>2275</v>
      </c>
      <c r="K564" s="372">
        <f t="shared" ca="1" si="121"/>
        <v>103.40909090909091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IFERROR(__xludf.DUMMYFUNCTION("IMPORTRANGE(""https://docs.google.com/spreadsheets/d/1XL5vhW3sbDhbH9Cz0tuDiY8C3ctxq1tqvaCgkFb8cCA/edit?usp=sharing"",""หนองคาย!M459"")"),91030)</f>
        <v>91030</v>
      </c>
      <c r="O564" s="373">
        <f t="shared" ref="O564:O568" ca="1" si="122">+IF(L564&gt;0,N564*100/L564,0)</f>
        <v>63.639541387024607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IFERROR(__xludf.DUMMYFUNCTION("IMPORTRANGE(""https://docs.google.com/spreadsheets/d/1XL5vhW3sbDhbH9Cz0tuDiY8C3ctxq1tqvaCgkFb8cCA/edit?usp=sharing"",""หนองคาย!L460"")"),0)</f>
        <v>0</v>
      </c>
      <c r="M565" s="166"/>
      <c r="N565" s="170">
        <f ca="1">IFERROR(__xludf.DUMMYFUNCTION("IMPORTRANGE(""https://docs.google.com/spreadsheets/d/1XL5vhW3sbDhbH9Cz0tuDiY8C3ctxq1tqvaCgkFb8cCA/edit?usp=sharing"",""หนองคาย!M460"")"),0)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IFERROR(__xludf.DUMMYFUNCTION("IMPORTRANGE(""https://docs.google.com/spreadsheets/d/1XL5vhW3sbDhbH9Cz0tuDiY8C3ctxq1tqvaCgkFb8cCA/edit?usp=sharing"",""หนองคาย!L461"")"),143040)</f>
        <v>143040</v>
      </c>
      <c r="M566" s="167"/>
      <c r="N566" s="170">
        <f ca="1">IFERROR(__xludf.DUMMYFUNCTION("IMPORTRANGE(""https://docs.google.com/spreadsheets/d/1XL5vhW3sbDhbH9Cz0tuDiY8C3ctxq1tqvaCgkFb8cCA/edit?usp=sharing"",""หนองคาย!M461"")"),91030)</f>
        <v>91030</v>
      </c>
      <c r="O566" s="170">
        <f t="shared" ca="1" si="122"/>
        <v>63.639541387024607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IFERROR(__xludf.DUMMYFUNCTION("IMPORTRANGE(""https://docs.google.com/spreadsheets/d/1XL5vhW3sbDhbH9Cz0tuDiY8C3ctxq1tqvaCgkFb8cCA/edit?usp=sharing"",""หนองคาย!L462"")"),0)</f>
        <v>0</v>
      </c>
      <c r="M567" s="170"/>
      <c r="N567" s="170">
        <f ca="1">IFERROR(__xludf.DUMMYFUNCTION("IMPORTRANGE(""https://docs.google.com/spreadsheets/d/1XL5vhW3sbDhbH9Cz0tuDiY8C3ctxq1tqvaCgkFb8cCA/edit?usp=sharing"",""หนองคาย!M462"")"),0)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IFERROR(__xludf.DUMMYFUNCTION("IMPORTRANGE(""https://docs.google.com/spreadsheets/d/1XL5vhW3sbDhbH9Cz0tuDiY8C3ctxq1tqvaCgkFb8cCA/edit?usp=sharing"",""หนองคาย!L463"")"),143040)</f>
        <v>143040</v>
      </c>
      <c r="M568" s="170"/>
      <c r="N568" s="170">
        <f ca="1">IFERROR(__xludf.DUMMYFUNCTION("IMPORTRANGE(""https://docs.google.com/spreadsheets/d/1XL5vhW3sbDhbH9Cz0tuDiY8C3ctxq1tqvaCgkFb8cCA/edit?usp=sharing"",""หนองคาย!M463"")"),91030)</f>
        <v>91030</v>
      </c>
      <c r="O568" s="170">
        <f t="shared" ca="1" si="122"/>
        <v>63.639541387024607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IFERROR(__xludf.DUMMYFUNCTION("IMPORTRANGE(""https://docs.google.com/spreadsheets/d/1XL5vhW3sbDhbH9Cz0tuDiY8C3ctxq1tqvaCgkFb8cCA/edit?usp=sharing"",""หนองคาย!M464"")"),0)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IFERROR(__xludf.DUMMYFUNCTION("IMPORTRANGE(""https://docs.google.com/spreadsheets/d/1XL5vhW3sbDhbH9Cz0tuDiY8C3ctxq1tqvaCgkFb8cCA/edit?usp=sharing"",""หนองคาย!M465"")"),0)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IFERROR(__xludf.DUMMYFUNCTION("IMPORTRANGE(""https://docs.google.com/spreadsheets/d/1XL5vhW3sbDhbH9Cz0tuDiY8C3ctxq1tqvaCgkFb8cCA/edit?usp=sharing"",""หนองคาย!M466"")"),51085.01)</f>
        <v>51085.01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IFERROR(__xludf.DUMMYFUNCTION("IMPORTRANGE(""https://docs.google.com/spreadsheets/d/1XL5vhW3sbDhbH9Cz0tuDiY8C3ctxq1tqvaCgkFb8cCA/edit?usp=sharing"",""หนองคาย!M467"")"),39944.99)</f>
        <v>39944.99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IFERROR(__xludf.DUMMYFUNCTION("IMPORTRANGE(""https://docs.google.com/spreadsheets/d/1XL5vhW3sbDhbH9Cz0tuDiY8C3ctxq1tqvaCgkFb8cCA/edit?usp=sharing"",""หนองคาย!J468"")"),2275)</f>
        <v>2275</v>
      </c>
      <c r="K573" s="203">
        <f ca="1">IF(I573&gt;0,J573*100/I573,0)</f>
        <v>103.40909090909091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IFERROR(__xludf.DUMMYFUNCTION("IMPORTRANGE(""https://docs.google.com/spreadsheets/d/1XL5vhW3sbDhbH9Cz0tuDiY8C3ctxq1tqvaCgkFb8cCA/edit?usp=sharing"",""หนองคาย!I470"")"),0)</f>
        <v>0</v>
      </c>
      <c r="J575" s="199">
        <f ca="1">IFERROR(__xludf.DUMMYFUNCTION("IMPORTRANGE(""https://docs.google.com/spreadsheets/d/1XL5vhW3sbDhbH9Cz0tuDiY8C3ctxq1tqvaCgkFb8cCA/edit?usp=sharing"",""หนองคาย!J470"")"),0)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IFERROR(__xludf.DUMMYFUNCTION("IMPORTRANGE(""https://docs.google.com/spreadsheets/d/1XL5vhW3sbDhbH9Cz0tuDiY8C3ctxq1tqvaCgkFb8cCA/edit?usp=sharing"",""หนองคาย!I471"")"),0)</f>
        <v>0</v>
      </c>
      <c r="J576" s="199">
        <f ca="1">IFERROR(__xludf.DUMMYFUNCTION("IMPORTRANGE(""https://docs.google.com/spreadsheets/d/1XL5vhW3sbDhbH9Cz0tuDiY8C3ctxq1tqvaCgkFb8cCA/edit?usp=sharing"",""หนองคาย!J471"")"),0)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IFERROR(__xludf.DUMMYFUNCTION("IMPORTRANGE(""https://docs.google.com/spreadsheets/d/1XL5vhW3sbDhbH9Cz0tuDiY8C3ctxq1tqvaCgkFb8cCA/edit?usp=sharing"",""หนองคาย!I472"")"),0)</f>
        <v>0</v>
      </c>
      <c r="J577" s="190">
        <f ca="1">IFERROR(__xludf.DUMMYFUNCTION("IMPORTRANGE(""https://docs.google.com/spreadsheets/d/1XL5vhW3sbDhbH9Cz0tuDiY8C3ctxq1tqvaCgkFb8cCA/edit?usp=sharing"",""หนองคาย!J472"")"),2275)</f>
        <v>2275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IFERROR(__xludf.DUMMYFUNCTION("IMPORTRANGE(""https://docs.google.com/spreadsheets/d/1XL5vhW3sbDhbH9Cz0tuDiY8C3ctxq1tqvaCgkFb8cCA/edit?usp=sharing"",""หนองคาย!I473"")"),0)</f>
        <v>0</v>
      </c>
      <c r="J578" s="199">
        <f ca="1">IFERROR(__xludf.DUMMYFUNCTION("IMPORTRANGE(""https://docs.google.com/spreadsheets/d/1XL5vhW3sbDhbH9Cz0tuDiY8C3ctxq1tqvaCgkFb8cCA/edit?usp=sharing"",""หนองคาย!J473"")"),0)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IFERROR(__xludf.DUMMYFUNCTION("IMPORTRANGE(""https://docs.google.com/spreadsheets/d/1XL5vhW3sbDhbH9Cz0tuDiY8C3ctxq1tqvaCgkFb8cCA/edit?usp=sharing"",""หนองคาย!I474"")"),0)</f>
        <v>0</v>
      </c>
      <c r="J579" s="199">
        <f ca="1">IFERROR(__xludf.DUMMYFUNCTION("IMPORTRANGE(""https://docs.google.com/spreadsheets/d/1XL5vhW3sbDhbH9Cz0tuDiY8C3ctxq1tqvaCgkFb8cCA/edit?usp=sharing"",""หนองคาย!J474"")"),0)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IFERROR(__xludf.DUMMYFUNCTION("IMPORTRANGE(""https://docs.google.com/spreadsheets/d/1XL5vhW3sbDhbH9Cz0tuDiY8C3ctxq1tqvaCgkFb8cCA/edit?usp=sharing"",""หนองคาย!M475"")"),800)</f>
        <v>800</v>
      </c>
      <c r="O580" s="373">
        <f t="shared" ref="O580:O584" ca="1" si="124">+IF(L580&gt;0,N580*100/L580,0)</f>
        <v>0.69140753288507073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IFERROR(__xludf.DUMMYFUNCTION("IMPORTRANGE(""https://docs.google.com/spreadsheets/d/1XL5vhW3sbDhbH9Cz0tuDiY8C3ctxq1tqvaCgkFb8cCA/edit?usp=sharing"",""หนองคาย!L476"")"),0)</f>
        <v>0</v>
      </c>
      <c r="M581" s="166"/>
      <c r="N581" s="170">
        <f ca="1">IFERROR(__xludf.DUMMYFUNCTION("IMPORTRANGE(""https://docs.google.com/spreadsheets/d/1XL5vhW3sbDhbH9Cz0tuDiY8C3ctxq1tqvaCgkFb8cCA/edit?usp=sharing"",""หนองคาย!M476"")"),0)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IFERROR(__xludf.DUMMYFUNCTION("IMPORTRANGE(""https://docs.google.com/spreadsheets/d/1XL5vhW3sbDhbH9Cz0tuDiY8C3ctxq1tqvaCgkFb8cCA/edit?usp=sharing"",""หนองคาย!L477"")"),115706)</f>
        <v>115706</v>
      </c>
      <c r="M582" s="167"/>
      <c r="N582" s="170">
        <f ca="1">IFERROR(__xludf.DUMMYFUNCTION("IMPORTRANGE(""https://docs.google.com/spreadsheets/d/1XL5vhW3sbDhbH9Cz0tuDiY8C3ctxq1tqvaCgkFb8cCA/edit?usp=sharing"",""หนองคาย!M477"")"),800)</f>
        <v>800</v>
      </c>
      <c r="O582" s="170">
        <f t="shared" ca="1" si="124"/>
        <v>0.69140753288507073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IFERROR(__xludf.DUMMYFUNCTION("IMPORTRANGE(""https://docs.google.com/spreadsheets/d/1XL5vhW3sbDhbH9Cz0tuDiY8C3ctxq1tqvaCgkFb8cCA/edit?usp=sharing"",""หนองคาย!L478"")"),0)</f>
        <v>0</v>
      </c>
      <c r="M583" s="170"/>
      <c r="N583" s="170">
        <f ca="1">IFERROR(__xludf.DUMMYFUNCTION("IMPORTRANGE(""https://docs.google.com/spreadsheets/d/1XL5vhW3sbDhbH9Cz0tuDiY8C3ctxq1tqvaCgkFb8cCA/edit?usp=sharing"",""หนองคาย!M478"")"),0)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IFERROR(__xludf.DUMMYFUNCTION("IMPORTRANGE(""https://docs.google.com/spreadsheets/d/1XL5vhW3sbDhbH9Cz0tuDiY8C3ctxq1tqvaCgkFb8cCA/edit?usp=sharing"",""หนองคาย!L479"")"),115706)</f>
        <v>115706</v>
      </c>
      <c r="M584" s="170"/>
      <c r="N584" s="170">
        <f ca="1">IFERROR(__xludf.DUMMYFUNCTION("IMPORTRANGE(""https://docs.google.com/spreadsheets/d/1XL5vhW3sbDhbH9Cz0tuDiY8C3ctxq1tqvaCgkFb8cCA/edit?usp=sharing"",""หนองคาย!M479"")"),800)</f>
        <v>800</v>
      </c>
      <c r="O584" s="170">
        <f t="shared" ca="1" si="124"/>
        <v>0.69140753288507073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IFERROR(__xludf.DUMMYFUNCTION("IMPORTRANGE(""https://docs.google.com/spreadsheets/d/1XL5vhW3sbDhbH9Cz0tuDiY8C3ctxq1tqvaCgkFb8cCA/edit?usp=sharing"",""หนองคาย!M480"")"),0)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IFERROR(__xludf.DUMMYFUNCTION("IMPORTRANGE(""https://docs.google.com/spreadsheets/d/1XL5vhW3sbDhbH9Cz0tuDiY8C3ctxq1tqvaCgkFb8cCA/edit?usp=sharing"",""หนองคาย!M481"")"),0)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IFERROR(__xludf.DUMMYFUNCTION("IMPORTRANGE(""https://docs.google.com/spreadsheets/d/1XL5vhW3sbDhbH9Cz0tuDiY8C3ctxq1tqvaCgkFb8cCA/edit?usp=sharing"",""หนองคาย!M482"")"),0)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IFERROR(__xludf.DUMMYFUNCTION("IMPORTRANGE(""https://docs.google.com/spreadsheets/d/1XL5vhW3sbDhbH9Cz0tuDiY8C3ctxq1tqvaCgkFb8cCA/edit?usp=sharing"",""หนองคาย!M483"")"),800)</f>
        <v>800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IFERROR(__xludf.DUMMYFUNCTION("IMPORTRANGE(""https://docs.google.com/spreadsheets/d/1XL5vhW3sbDhbH9Cz0tuDiY8C3ctxq1tqvaCgkFb8cCA/edit?usp=sharing"",""หนองคาย!I484"")"),6)</f>
        <v>6</v>
      </c>
      <c r="J589" s="189">
        <f ca="1">IFERROR(__xludf.DUMMYFUNCTION("IMPORTRANGE(""https://docs.google.com/spreadsheets/d/1XL5vhW3sbDhbH9Cz0tuDiY8C3ctxq1tqvaCgkFb8cCA/edit?usp=sharing"",""หนองคาย!J484"")"),6)</f>
        <v>6</v>
      </c>
      <c r="K589" s="165">
        <f t="shared" ref="K589:K596" ca="1" si="125">IF(I589&gt;0,J589*100/I589,0)</f>
        <v>100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9">
        <f ca="1">IFERROR(__xludf.DUMMYFUNCTION("IMPORTRANGE(""https://docs.google.com/spreadsheets/d/1XL5vhW3sbDhbH9Cz0tuDiY8C3ctxq1tqvaCgkFb8cCA/edit?usp=sharing"",""หนองคาย!J485"")"),4.33)</f>
        <v>4.33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IFERROR(__xludf.DUMMYFUNCTION("IMPORTRANGE(""https://docs.google.com/spreadsheets/d/1XL5vhW3sbDhbH9Cz0tuDiY8C3ctxq1tqvaCgkFb8cCA/edit?usp=sharing"",""หนองคาย!I486"")"),6)</f>
        <v>6</v>
      </c>
      <c r="J591" s="189">
        <f ca="1">IFERROR(__xludf.DUMMYFUNCTION("IMPORTRANGE(""https://docs.google.com/spreadsheets/d/1XL5vhW3sbDhbH9Cz0tuDiY8C3ctxq1tqvaCgkFb8cCA/edit?usp=sharing"",""หนองคาย!J486"")"),0)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9">
        <f ca="1">IFERROR(__xludf.DUMMYFUNCTION("IMPORTRANGE(""https://docs.google.com/spreadsheets/d/1XL5vhW3sbDhbH9Cz0tuDiY8C3ctxq1tqvaCgkFb8cCA/edit?usp=sharing"",""หนองคาย!J487"")"),0)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IFERROR(__xludf.DUMMYFUNCTION("IMPORTRANGE(""https://docs.google.com/spreadsheets/d/1XL5vhW3sbDhbH9Cz0tuDiY8C3ctxq1tqvaCgkFb8cCA/edit?usp=sharing"",""หนองคาย!I488"")"),6)</f>
        <v>6</v>
      </c>
      <c r="J593" s="189">
        <f ca="1">IFERROR(__xludf.DUMMYFUNCTION("IMPORTRANGE(""https://docs.google.com/spreadsheets/d/1XL5vhW3sbDhbH9Cz0tuDiY8C3ctxq1tqvaCgkFb8cCA/edit?usp=sharing"",""หนองคาย!J488"")"),0)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9">
        <f ca="1">IFERROR(__xludf.DUMMYFUNCTION("IMPORTRANGE(""https://docs.google.com/spreadsheets/d/1XL5vhW3sbDhbH9Cz0tuDiY8C3ctxq1tqvaCgkFb8cCA/edit?usp=sharing"",""หนองคาย!J489"")"),0)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IFERROR(__xludf.DUMMYFUNCTION("IMPORTRANGE(""https://docs.google.com/spreadsheets/d/1XL5vhW3sbDhbH9Cz0tuDiY8C3ctxq1tqvaCgkFb8cCA/edit?usp=sharing"",""หนองคาย!I490"")"),6)</f>
        <v>6</v>
      </c>
      <c r="J595" s="189">
        <f ca="1">IFERROR(__xludf.DUMMYFUNCTION("IMPORTRANGE(""https://docs.google.com/spreadsheets/d/1XL5vhW3sbDhbH9Cz0tuDiY8C3ctxq1tqvaCgkFb8cCA/edit?usp=sharing"",""หนองคาย!J490"")"),0)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7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IFERROR(__xludf.DUMMYFUNCTION("IMPORTRANGE(""https://docs.google.com/spreadsheets/d/1XL5vhW3sbDhbH9Cz0tuDiY8C3ctxq1tqvaCgkFb8cCA/edit?usp=sharing"",""หนองคาย!L493"")"),0)</f>
        <v>0</v>
      </c>
      <c r="M598" s="166"/>
      <c r="N598" s="170">
        <f ca="1">IFERROR(__xludf.DUMMYFUNCTION("IMPORTRANGE(""https://docs.google.com/spreadsheets/d/1XL5vhW3sbDhbH9Cz0tuDiY8C3ctxq1tqvaCgkFb8cCA/edit?usp=sharing"",""หนองคาย!M493"")"),0)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IFERROR(__xludf.DUMMYFUNCTION("IMPORTRANGE(""https://docs.google.com/spreadsheets/d/1XL5vhW3sbDhbH9Cz0tuDiY8C3ctxq1tqvaCgkFb8cCA/edit?usp=sharing"",""หนองคาย!L494"")"),11300)</f>
        <v>11300</v>
      </c>
      <c r="M599" s="167"/>
      <c r="N599" s="170">
        <f ca="1">IFERROR(__xludf.DUMMYFUNCTION("IMPORTRANGE(""https://docs.google.com/spreadsheets/d/1XL5vhW3sbDhbH9Cz0tuDiY8C3ctxq1tqvaCgkFb8cCA/edit?usp=sharing"",""หนองคาย!M494"")"),2220)</f>
        <v>2220</v>
      </c>
      <c r="O599" s="170">
        <f t="shared" ca="1" si="126"/>
        <v>19.646017699115045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IFERROR(__xludf.DUMMYFUNCTION("IMPORTRANGE(""https://docs.google.com/spreadsheets/d/1XL5vhW3sbDhbH9Cz0tuDiY8C3ctxq1tqvaCgkFb8cCA/edit?usp=sharing"",""หนองคาย!L495"")"),0)</f>
        <v>0</v>
      </c>
      <c r="M600" s="170"/>
      <c r="N600" s="170">
        <f ca="1">IFERROR(__xludf.DUMMYFUNCTION("IMPORTRANGE(""https://docs.google.com/spreadsheets/d/1XL5vhW3sbDhbH9Cz0tuDiY8C3ctxq1tqvaCgkFb8cCA/edit?usp=sharing"",""หนองคาย!M495"")"),0)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IFERROR(__xludf.DUMMYFUNCTION("IMPORTRANGE(""https://docs.google.com/spreadsheets/d/1XL5vhW3sbDhbH9Cz0tuDiY8C3ctxq1tqvaCgkFb8cCA/edit?usp=sharing"",""หนองคาย!L496"")"),11300)</f>
        <v>11300</v>
      </c>
      <c r="M601" s="170"/>
      <c r="N601" s="170">
        <f ca="1">IFERROR(__xludf.DUMMYFUNCTION("IMPORTRANGE(""https://docs.google.com/spreadsheets/d/1XL5vhW3sbDhbH9Cz0tuDiY8C3ctxq1tqvaCgkFb8cCA/edit?usp=sharing"",""หนองคาย!M496"")"),2220)</f>
        <v>2220</v>
      </c>
      <c r="O601" s="170">
        <f t="shared" ca="1" si="126"/>
        <v>19.646017699115045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IFERROR(__xludf.DUMMYFUNCTION("IMPORTRANGE(""https://docs.google.com/spreadsheets/d/1XL5vhW3sbDhbH9Cz0tuDiY8C3ctxq1tqvaCgkFb8cCA/edit?usp=sharing"",""หนองคาย!M497"")"),0)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IFERROR(__xludf.DUMMYFUNCTION("IMPORTRANGE(""https://docs.google.com/spreadsheets/d/1XL5vhW3sbDhbH9Cz0tuDiY8C3ctxq1tqvaCgkFb8cCA/edit?usp=sharing"",""หนองคาย!M498"")"),0)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IFERROR(__xludf.DUMMYFUNCTION("IMPORTRANGE(""https://docs.google.com/spreadsheets/d/1XL5vhW3sbDhbH9Cz0tuDiY8C3ctxq1tqvaCgkFb8cCA/edit?usp=sharing"",""หนองคาย!J502"")"),0)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IFERROR(__xludf.DUMMYFUNCTION("IMPORTRANGE(""https://docs.google.com/spreadsheets/d/1XL5vhW3sbDhbH9Cz0tuDiY8C3ctxq1tqvaCgkFb8cCA/edit?usp=sharing"",""หนองคาย!J503"")"),1)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IFERROR(__xludf.DUMMYFUNCTION("IMPORTRANGE(""https://docs.google.com/spreadsheets/d/1XL5vhW3sbDhbH9Cz0tuDiY8C3ctxq1tqvaCgkFb8cCA/edit?usp=sharing"",""หนองคาย!J166"")"),0)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IFERROR(__xludf.DUMMYFUNCTION("IMPORTRANGE(""https://docs.google.com/spreadsheets/d/1XL5vhW3sbDhbH9Cz0tuDiY8C3ctxq1tqvaCgkFb8cCA/edit?usp=sharing"",""หนองคาย!J166"")"),0)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IFERROR(__xludf.DUMMYFUNCTION("IMPORTRANGE(""https://docs.google.com/spreadsheets/d/1XL5vhW3sbDhbH9Cz0tuDiY8C3ctxq1tqvaCgkFb8cCA/edit?usp=sharing"",""หนองคาย!I506"")"),100)</f>
        <v>100</v>
      </c>
      <c r="J611" s="164">
        <f ca="1">IFERROR(__xludf.DUMMYFUNCTION("IMPORTRANGE(""https://docs.google.com/spreadsheets/d/1XL5vhW3sbDhbH9Cz0tuDiY8C3ctxq1tqvaCgkFb8cCA/edit?usp=sharing"",""หนองคาย!J506"")"),0)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IFERROR(__xludf.DUMMYFUNCTION("IMPORTRANGE(""https://docs.google.com/spreadsheets/d/1XL5vhW3sbDhbH9Cz0tuDiY8C3ctxq1tqvaCgkFb8cCA/edit?usp=sharing"",""หนองคาย!I507"")"),0)</f>
        <v>0</v>
      </c>
      <c r="J612" s="199">
        <f ca="1">IFERROR(__xludf.DUMMYFUNCTION("IMPORTRANGE(""https://docs.google.com/spreadsheets/d/1XL5vhW3sbDhbH9Cz0tuDiY8C3ctxq1tqvaCgkFb8cCA/edit?usp=sharing"",""หนองคาย!J507"")"),0)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IFERROR(__xludf.DUMMYFUNCTION("IMPORTRANGE(""https://docs.google.com/spreadsheets/d/1XL5vhW3sbDhbH9Cz0tuDiY8C3ctxq1tqvaCgkFb8cCA/edit?usp=sharing"",""หนองคาย!I508"")"),0)</f>
        <v>0</v>
      </c>
      <c r="J613" s="199">
        <f ca="1">IFERROR(__xludf.DUMMYFUNCTION("IMPORTRANGE(""https://docs.google.com/spreadsheets/d/1XL5vhW3sbDhbH9Cz0tuDiY8C3ctxq1tqvaCgkFb8cCA/edit?usp=sharing"",""หนองคาย!J508"")"),0)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IFERROR(__xludf.DUMMYFUNCTION("IMPORTRANGE(""https://docs.google.com/spreadsheets/d/1XL5vhW3sbDhbH9Cz0tuDiY8C3ctxq1tqvaCgkFb8cCA/edit?usp=sharing"",""หนองคาย!I509"")"),0)</f>
        <v>0</v>
      </c>
      <c r="J614" s="199">
        <f ca="1">IFERROR(__xludf.DUMMYFUNCTION("IMPORTRANGE(""https://docs.google.com/spreadsheets/d/1XL5vhW3sbDhbH9Cz0tuDiY8C3ctxq1tqvaCgkFb8cCA/edit?usp=sharing"",""หนองคาย!J509"")"),0)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IFERROR(__xludf.DUMMYFUNCTION("IMPORTRANGE(""https://docs.google.com/spreadsheets/d/1XL5vhW3sbDhbH9Cz0tuDiY8C3ctxq1tqvaCgkFb8cCA/edit?usp=sharing"",""หนองคาย!I510"")"),0)</f>
        <v>0</v>
      </c>
      <c r="J615" s="199">
        <f ca="1">IFERROR(__xludf.DUMMYFUNCTION("IMPORTRANGE(""https://docs.google.com/spreadsheets/d/1XL5vhW3sbDhbH9Cz0tuDiY8C3ctxq1tqvaCgkFb8cCA/edit?usp=sharing"",""หนองคาย!J510"")"),0)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IFERROR(__xludf.DUMMYFUNCTION("IMPORTRANGE(""https://docs.google.com/spreadsheets/d/1XL5vhW3sbDhbH9Cz0tuDiY8C3ctxq1tqvaCgkFb8cCA/edit?usp=sharing"",""หนองคาย!I511"")"),0)</f>
        <v>0</v>
      </c>
      <c r="J616" s="199">
        <f ca="1">IFERROR(__xludf.DUMMYFUNCTION("IMPORTRANGE(""https://docs.google.com/spreadsheets/d/1XL5vhW3sbDhbH9Cz0tuDiY8C3ctxq1tqvaCgkFb8cCA/edit?usp=sharing"",""หนองคาย!J511"")"),0)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IFERROR(__xludf.DUMMYFUNCTION("IMPORTRANGE(""https://docs.google.com/spreadsheets/d/1XL5vhW3sbDhbH9Cz0tuDiY8C3ctxq1tqvaCgkFb8cCA/edit?usp=sharing"",""หนองคาย!I512"")"),0)</f>
        <v>0</v>
      </c>
      <c r="J617" s="189">
        <f ca="1">IFERROR(__xludf.DUMMYFUNCTION("IMPORTRANGE(""https://docs.google.com/spreadsheets/d/1XL5vhW3sbDhbH9Cz0tuDiY8C3ctxq1tqvaCgkFb8cCA/edit?usp=sharing"",""หนองคาย!J512"")"),0)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IFERROR(__xludf.DUMMYFUNCTION("IMPORTRANGE(""https://docs.google.com/spreadsheets/d/1XL5vhW3sbDhbH9Cz0tuDiY8C3ctxq1tqvaCgkFb8cCA/edit?usp=sharing"",""หนองคาย!I513"")"),0)</f>
        <v>0</v>
      </c>
      <c r="J618" s="190">
        <f ca="1">IFERROR(__xludf.DUMMYFUNCTION("IMPORTRANGE(""https://docs.google.com/spreadsheets/d/1XL5vhW3sbDhbH9Cz0tuDiY8C3ctxq1tqvaCgkFb8cCA/edit?usp=sharing"",""หนองคาย!J513"")"),0)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IFERROR(__xludf.DUMMYFUNCTION("IMPORTRANGE(""https://docs.google.com/spreadsheets/d/1XL5vhW3sbDhbH9Cz0tuDiY8C3ctxq1tqvaCgkFb8cCA/edit?usp=sharing"",""หนองคาย!I514"")"),0)</f>
        <v>0</v>
      </c>
      <c r="J619" s="190">
        <f ca="1">IFERROR(__xludf.DUMMYFUNCTION("IMPORTRANGE(""https://docs.google.com/spreadsheets/d/1XL5vhW3sbDhbH9Cz0tuDiY8C3ctxq1tqvaCgkFb8cCA/edit?usp=sharing"",""หนองคาย!J514"")"),0)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IFERROR(__xludf.DUMMYFUNCTION("IMPORTRANGE(""https://docs.google.com/spreadsheets/d/1XL5vhW3sbDhbH9Cz0tuDiY8C3ctxq1tqvaCgkFb8cCA/edit?usp=sharing"",""หนองคาย!I515"")"),0)</f>
        <v>0</v>
      </c>
      <c r="J620" s="204">
        <f ca="1">IFERROR(__xludf.DUMMYFUNCTION("IMPORTRANGE(""https://docs.google.com/spreadsheets/d/1XL5vhW3sbDhbH9Cz0tuDiY8C3ctxq1tqvaCgkFb8cCA/edit?usp=sharing"",""หนองคาย!J515"")"),0)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IFERROR(__xludf.DUMMYFUNCTION("IMPORTRANGE(""https://docs.google.com/spreadsheets/d/1XL5vhW3sbDhbH9Cz0tuDiY8C3ctxq1tqvaCgkFb8cCA/edit?usp=sharing"",""หนองคาย!I516"")"),0)</f>
        <v>0</v>
      </c>
      <c r="J621" s="204">
        <f ca="1">IFERROR(__xludf.DUMMYFUNCTION("IMPORTRANGE(""https://docs.google.com/spreadsheets/d/1XL5vhW3sbDhbH9Cz0tuDiY8C3ctxq1tqvaCgkFb8cCA/edit?usp=sharing"",""หนองคาย!J516"")"),0)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IFERROR(__xludf.DUMMYFUNCTION("IMPORTRANGE(""https://docs.google.com/spreadsheets/d/1XL5vhW3sbDhbH9Cz0tuDiY8C3ctxq1tqvaCgkFb8cCA/edit?usp=sharing"",""หนองคาย!I517"")"),0)</f>
        <v>0</v>
      </c>
      <c r="J622" s="190">
        <f ca="1">IFERROR(__xludf.DUMMYFUNCTION("IMPORTRANGE(""https://docs.google.com/spreadsheets/d/1XL5vhW3sbDhbH9Cz0tuDiY8C3ctxq1tqvaCgkFb8cCA/edit?usp=sharing"",""หนองคาย!J517"")"),0)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IFERROR(__xludf.DUMMYFUNCTION("IMPORTRANGE(""https://docs.google.com/spreadsheets/d/1XL5vhW3sbDhbH9Cz0tuDiY8C3ctxq1tqvaCgkFb8cCA/edit?usp=sharing"",""หนองคาย!I518"")"),0)</f>
        <v>0</v>
      </c>
      <c r="J623" s="190">
        <f ca="1">IFERROR(__xludf.DUMMYFUNCTION("IMPORTRANGE(""https://docs.google.com/spreadsheets/d/1XL5vhW3sbDhbH9Cz0tuDiY8C3ctxq1tqvaCgkFb8cCA/edit?usp=sharing"",""หนองคาย!J518"")"),0)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IFERROR(__xludf.DUMMYFUNCTION("IMPORTRANGE(""https://docs.google.com/spreadsheets/d/1XL5vhW3sbDhbH9Cz0tuDiY8C3ctxq1tqvaCgkFb8cCA/edit?usp=sharing"",""หนองคาย!I519"")"),0)</f>
        <v>0</v>
      </c>
      <c r="J624" s="189">
        <f ca="1">IFERROR(__xludf.DUMMYFUNCTION("IMPORTRANGE(""https://docs.google.com/spreadsheets/d/1XL5vhW3sbDhbH9Cz0tuDiY8C3ctxq1tqvaCgkFb8cCA/edit?usp=sharing"",""หนองคาย!J519"")"),0)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IFERROR(__xludf.DUMMYFUNCTION("IMPORTRANGE(""https://docs.google.com/spreadsheets/d/1XL5vhW3sbDhbH9Cz0tuDiY8C3ctxq1tqvaCgkFb8cCA/edit?usp=sharing"",""หนองคาย!I520"")"),0)</f>
        <v>0</v>
      </c>
      <c r="J625" s="190">
        <f ca="1">IFERROR(__xludf.DUMMYFUNCTION("IMPORTRANGE(""https://docs.google.com/spreadsheets/d/1XL5vhW3sbDhbH9Cz0tuDiY8C3ctxq1tqvaCgkFb8cCA/edit?usp=sharing"",""หนองคาย!J520"")"),0)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IFERROR(__xludf.DUMMYFUNCTION("IMPORTRANGE(""https://docs.google.com/spreadsheets/d/1XL5vhW3sbDhbH9Cz0tuDiY8C3ctxq1tqvaCgkFb8cCA/edit?usp=sharing"",""หนองคาย!I521"")"),0)</f>
        <v>0</v>
      </c>
      <c r="J626" s="190">
        <f ca="1">IFERROR(__xludf.DUMMYFUNCTION("IMPORTRANGE(""https://docs.google.com/spreadsheets/d/1XL5vhW3sbDhbH9Cz0tuDiY8C3ctxq1tqvaCgkFb8cCA/edit?usp=sharing"",""หนองคาย!J521"")"),0)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IFERROR(__xludf.DUMMYFUNCTION("IMPORTRANGE(""https://docs.google.com/spreadsheets/d/1XL5vhW3sbDhbH9Cz0tuDiY8C3ctxq1tqvaCgkFb8cCA/edit?usp=sharing"",""หนองคาย!I523"")"),3580376.56)</f>
        <v>3580376.56</v>
      </c>
      <c r="J628" s="341">
        <f ca="1">IFERROR(__xludf.DUMMYFUNCTION("IMPORTRANGE(""https://docs.google.com/spreadsheets/d/1XL5vhW3sbDhbH9Cz0tuDiY8C3ctxq1tqvaCgkFb8cCA/edit?usp=sharing"",""หนองคาย!J523"")"),933007.47)</f>
        <v>933007.47</v>
      </c>
      <c r="K628" s="342">
        <f t="shared" ref="K628:K635" ca="1" si="129">IF(I628&gt;0,J628*100/I628,0)</f>
        <v>26.058920182406734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IFERROR(__xludf.DUMMYFUNCTION("IMPORTRANGE(""https://docs.google.com/spreadsheets/d/1XL5vhW3sbDhbH9Cz0tuDiY8C3ctxq1tqvaCgkFb8cCA/edit?usp=sharing"",""หนองคาย!I524"")"),357)</f>
        <v>357</v>
      </c>
      <c r="J629" s="341">
        <f ca="1">IFERROR(__xludf.DUMMYFUNCTION("IMPORTRANGE(""https://docs.google.com/spreadsheets/d/1XL5vhW3sbDhbH9Cz0tuDiY8C3ctxq1tqvaCgkFb8cCA/edit?usp=sharing"",""หนองคาย!J524"")"),94)</f>
        <v>94</v>
      </c>
      <c r="K629" s="342">
        <f t="shared" ca="1" si="129"/>
        <v>26.330532212885153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IFERROR(__xludf.DUMMYFUNCTION("IMPORTRANGE(""https://docs.google.com/spreadsheets/d/1XL5vhW3sbDhbH9Cz0tuDiY8C3ctxq1tqvaCgkFb8cCA/edit?usp=sharing"",""หนองคาย!I525"")"),550608.41)</f>
        <v>550608.41</v>
      </c>
      <c r="J630" s="341">
        <f ca="1">IFERROR(__xludf.DUMMYFUNCTION("IMPORTRANGE(""https://docs.google.com/spreadsheets/d/1XL5vhW3sbDhbH9Cz0tuDiY8C3ctxq1tqvaCgkFb8cCA/edit?usp=sharing"",""หนองคาย!J525"")"),112777.69)</f>
        <v>112777.69</v>
      </c>
      <c r="K630" s="342">
        <f t="shared" ca="1" si="129"/>
        <v>20.482376940083423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IFERROR(__xludf.DUMMYFUNCTION("IMPORTRANGE(""https://docs.google.com/spreadsheets/d/1XL5vhW3sbDhbH9Cz0tuDiY8C3ctxq1tqvaCgkFb8cCA/edit?usp=sharing"",""หนองคาย!I526"")"),39)</f>
        <v>39</v>
      </c>
      <c r="J631" s="341">
        <f ca="1">IFERROR(__xludf.DUMMYFUNCTION("IMPORTRANGE(""https://docs.google.com/spreadsheets/d/1XL5vhW3sbDhbH9Cz0tuDiY8C3ctxq1tqvaCgkFb8cCA/edit?usp=sharing"",""หนองคาย!J526"")"),21)</f>
        <v>21</v>
      </c>
      <c r="K631" s="342">
        <f t="shared" ca="1" si="129"/>
        <v>53.846153846153847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1">
        <f ca="1">IFERROR(__xludf.DUMMYFUNCTION("IMPORTRANGE(""https://docs.google.com/spreadsheets/d/1XL5vhW3sbDhbH9Cz0tuDiY8C3ctxq1tqvaCgkFb8cCA/edit?usp=sharing"",""หนองคาย!J527"")"),203264.77)</f>
        <v>203264.77</v>
      </c>
      <c r="K632" s="342">
        <f t="shared" ca="1" si="129"/>
        <v>33.669750172042825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IFERROR(__xludf.DUMMYFUNCTION("IMPORTRANGE(""https://docs.google.com/spreadsheets/d/1XL5vhW3sbDhbH9Cz0tuDiY8C3ctxq1tqvaCgkFb8cCA/edit?usp=sharing"",""หนองคาย!I528"")"),83)</f>
        <v>83</v>
      </c>
      <c r="J633" s="341">
        <f ca="1">IFERROR(__xludf.DUMMYFUNCTION("IMPORTRANGE(""https://docs.google.com/spreadsheets/d/1XL5vhW3sbDhbH9Cz0tuDiY8C3ctxq1tqvaCgkFb8cCA/edit?usp=sharing"",""หนองคาย!J528"")"),39)</f>
        <v>39</v>
      </c>
      <c r="K633" s="342">
        <f t="shared" ca="1" si="129"/>
        <v>46.987951807228917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IFERROR(__xludf.DUMMYFUNCTION("IMPORTRANGE(""https://docs.google.com/spreadsheets/d/1XL5vhW3sbDhbH9Cz0tuDiY8C3ctxq1tqvaCgkFb8cCA/edit?usp=sharing"",""หนองคาย!I529"")"),1800000)</f>
        <v>1800000</v>
      </c>
      <c r="J634" s="341">
        <f ca="1">IFERROR(__xludf.DUMMYFUNCTION("IMPORTRANGE(""https://docs.google.com/spreadsheets/d/1XL5vhW3sbDhbH9Cz0tuDiY8C3ctxq1tqvaCgkFb8cCA/edit?usp=sharing"",""หนองคาย!J529"")"),0)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IFERROR(__xludf.DUMMYFUNCTION("IMPORTRANGE(""https://docs.google.com/spreadsheets/d/1XL5vhW3sbDhbH9Cz0tuDiY8C3ctxq1tqvaCgkFb8cCA/edit?usp=sharing"",""หนองคาย!I530"")"),45)</f>
        <v>45</v>
      </c>
      <c r="J635" s="504">
        <f ca="1">IFERROR(__xludf.DUMMYFUNCTION("IMPORTRANGE(""https://docs.google.com/spreadsheets/d/1XL5vhW3sbDhbH9Cz0tuDiY8C3ctxq1tqvaCgkFb8cCA/edit?usp=sharing"",""หนองคาย!J530"")"),0)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11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7615441</v>
      </c>
      <c r="M8" s="23">
        <f t="shared" ca="1" si="0"/>
        <v>2852741</v>
      </c>
      <c r="N8" s="23">
        <f t="shared" ca="1" si="0"/>
        <v>3525737.13</v>
      </c>
      <c r="O8" s="22">
        <f t="shared" ref="O8:O16" ca="1" si="1">IF(L8&gt;0,N8*100/L8,0)</f>
        <v>46.297215486273217</v>
      </c>
      <c r="P8" s="22">
        <f t="shared" ref="P8:P16" ca="1" si="2">IF(M8&gt;0,N8*100/M8,0)</f>
        <v>123.59121034822299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7615441</v>
      </c>
      <c r="M10" s="30">
        <f t="shared" ca="1" si="4"/>
        <v>2852741</v>
      </c>
      <c r="N10" s="30">
        <f t="shared" ca="1" si="4"/>
        <v>3525737.13</v>
      </c>
      <c r="O10" s="29">
        <f t="shared" ca="1" si="1"/>
        <v>46.297215486273217</v>
      </c>
      <c r="P10" s="29">
        <f t="shared" ca="1" si="2"/>
        <v>123.59121034822299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6596341</v>
      </c>
      <c r="M12" s="38">
        <f t="shared" ca="1" si="6"/>
        <v>1833641</v>
      </c>
      <c r="N12" s="38">
        <f t="shared" ca="1" si="6"/>
        <v>2506637.13</v>
      </c>
      <c r="O12" s="38">
        <f t="shared" ca="1" si="1"/>
        <v>38.000417655788262</v>
      </c>
      <c r="P12" s="38">
        <f t="shared" ca="1" si="2"/>
        <v>136.70272043437075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4709341</v>
      </c>
      <c r="M14" s="38">
        <f t="shared" si="8"/>
        <v>0</v>
      </c>
      <c r="N14" s="38">
        <f t="shared" ca="1" si="8"/>
        <v>849480.13</v>
      </c>
      <c r="O14" s="38">
        <f t="shared" ca="1" si="1"/>
        <v>18.038195365338801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4154805</v>
      </c>
      <c r="M18" s="23">
        <f t="shared" ca="1" si="11"/>
        <v>2852741</v>
      </c>
      <c r="N18" s="23">
        <f t="shared" ca="1" si="11"/>
        <v>2676257</v>
      </c>
      <c r="O18" s="22">
        <f t="shared" ref="O18:O20" ca="1" si="12">IF(L18&gt;0,N18*100/L18,0)</f>
        <v>64.413540467001454</v>
      </c>
      <c r="P18" s="22">
        <f t="shared" ref="P18:P26" ca="1" si="13">IF(M18&gt;0,N18*100/M18,0)</f>
        <v>93.813528813166002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4154805</v>
      </c>
      <c r="M20" s="30">
        <f t="shared" ca="1" si="15"/>
        <v>2852741</v>
      </c>
      <c r="N20" s="30">
        <f t="shared" ca="1" si="15"/>
        <v>2676257</v>
      </c>
      <c r="O20" s="29">
        <f t="shared" ca="1" si="12"/>
        <v>64.413540467001454</v>
      </c>
      <c r="P20" s="29">
        <f t="shared" ca="1" si="13"/>
        <v>93.813528813166002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3135705</v>
      </c>
      <c r="M22" s="41">
        <f t="shared" ca="1" si="18"/>
        <v>1833641</v>
      </c>
      <c r="N22" s="38">
        <f t="shared" ca="1" si="18"/>
        <v>1657157</v>
      </c>
      <c r="O22" s="38">
        <f t="shared" ca="1" si="17"/>
        <v>52.847987932538295</v>
      </c>
      <c r="P22" s="38">
        <f t="shared" ca="1" si="13"/>
        <v>90.375215213883195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3460636</v>
      </c>
      <c r="M28" s="23">
        <f t="shared" si="23"/>
        <v>0</v>
      </c>
      <c r="N28" s="23">
        <f t="shared" ca="1" si="23"/>
        <v>849480.13</v>
      </c>
      <c r="O28" s="22">
        <f t="shared" ref="O28:O30" ca="1" si="24">IF(L28&gt;0,N28*100/L28,0)</f>
        <v>24.546936748042846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3460636</v>
      </c>
      <c r="M30" s="30">
        <f t="shared" si="27"/>
        <v>0</v>
      </c>
      <c r="N30" s="30">
        <f t="shared" ca="1" si="27"/>
        <v>849480.13</v>
      </c>
      <c r="O30" s="29">
        <f t="shared" ca="1" si="24"/>
        <v>24.546936748042846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3460636</v>
      </c>
      <c r="M32" s="38">
        <f t="shared" si="30"/>
        <v>0</v>
      </c>
      <c r="N32" s="38">
        <f t="shared" ca="1" si="30"/>
        <v>849480.13</v>
      </c>
      <c r="O32" s="38">
        <f t="shared" ca="1" si="29"/>
        <v>24.546936748042846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3460636</v>
      </c>
      <c r="M34" s="38">
        <f t="shared" si="32"/>
        <v>0</v>
      </c>
      <c r="N34" s="38">
        <f t="shared" ca="1" si="32"/>
        <v>849480.13</v>
      </c>
      <c r="O34" s="38">
        <f t="shared" ca="1" si="29"/>
        <v>24.546936748042846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4154805</v>
      </c>
      <c r="M37" s="54">
        <f t="shared" ca="1" si="33"/>
        <v>2852741</v>
      </c>
      <c r="N37" s="54">
        <f t="shared" ca="1" si="33"/>
        <v>2676257</v>
      </c>
      <c r="O37" s="55">
        <f t="shared" ca="1" si="29"/>
        <v>64.413540467001454</v>
      </c>
      <c r="P37" s="55">
        <f t="shared" ca="1" si="25"/>
        <v>93.813528813166002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1294700</v>
      </c>
      <c r="N41" s="78">
        <f t="shared" ca="1" si="34"/>
        <v>1227367</v>
      </c>
      <c r="O41" s="77">
        <f t="shared" ref="O41:O43" ca="1" si="35">IF(L41&gt;0,N41*100/L41,0)</f>
        <v>75.796146483048233</v>
      </c>
      <c r="P41" s="77">
        <f t="shared" ref="P41:P43" ca="1" si="36">IF(M41&gt;0,N41*100/M41,0)</f>
        <v>94.799335753456404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1294700</v>
      </c>
      <c r="N43" s="78">
        <f t="shared" ca="1" si="38"/>
        <v>1227367</v>
      </c>
      <c r="O43" s="77">
        <f t="shared" ca="1" si="35"/>
        <v>75.796146483048233</v>
      </c>
      <c r="P43" s="77">
        <f t="shared" ca="1" si="36"/>
        <v>94.799335753456404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533">
        <f ca="1">IFERROR(__xludf.DUMMYFUNCTION("IMPORTRANGE(""https://docs.google.com/spreadsheets/d/1Yj_ptqi66GCucihVvJfMjLAmec39IyEx_6qawtMGysU/edit?usp=sharing"",""สบก!Q54"")"),324500)</f>
        <v>324500</v>
      </c>
      <c r="N45" s="533">
        <f ca="1">IFERROR(__xludf.DUMMYFUNCTION("IMPORTRANGE(""https://docs.google.com/spreadsheets/d/1Yj_ptqi66GCucihVvJfMjLAmec39IyEx_6qawtMGysU/edit?usp=sharing"",""สบก!R54"")"),257167)</f>
        <v>257167</v>
      </c>
      <c r="O45" s="534">
        <f ca="1">IF(L45&gt;0,N45*100/L45,0)</f>
        <v>39.619010938222154</v>
      </c>
      <c r="P45" s="534">
        <f ca="1">IF(M45&gt;0,N45*100/M45,0)</f>
        <v>79.250231124807399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IFERROR(__xludf.DUMMYFUNCTION("IMPORTRANGE(""https://docs.google.com/spreadsheets/d/1Yj_ptqi66GCucihVvJfMjLAmec39IyEx_6qawtMGysU/edit?usp=sharing"",""สบก!M54"")"),649100)</f>
        <v>649100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IFERROR(__xludf.DUMMYFUNCTION("IMPORTRANGE(""https://docs.google.com/spreadsheets/d/1Yj_ptqi66GCucihVvJfMjLAmec39IyEx_6qawtMGysU/edit?usp=sharing"",""สบก!N54"")"),0)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IFERROR(__xludf.DUMMYFUNCTION("IMPORTRANGE(""https://docs.google.com/spreadsheets/d/1Yj_ptqi66GCucihVvJfMjLAmec39IyEx_6qawtMGysU/edit?usp=sharing"",""สบก!O54"")"),970200)</f>
        <v>970200</v>
      </c>
      <c r="M49" s="536">
        <f ca="1">L49</f>
        <v>970200</v>
      </c>
      <c r="N49" s="533">
        <f ca="1">IFERROR(__xludf.DUMMYFUNCTION("IMPORTRANGE(""https://docs.google.com/spreadsheets/d/1Yj_ptqi66GCucihVvJfMjLAmec39IyEx_6qawtMGysU/edit?usp=sharing"",""สบก!S54"")"),970200)</f>
        <v>970200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316766</v>
      </c>
      <c r="N53" s="121">
        <f t="shared" ca="1" si="39"/>
        <v>294848</v>
      </c>
      <c r="O53" s="120">
        <f t="shared" ref="O53:O55" ca="1" si="40">IF(L53&gt;0,N53*100/L53,0)</f>
        <v>48.751322751322753</v>
      </c>
      <c r="P53" s="120">
        <f t="shared" ref="P53:P55" ca="1" si="41">IF(M53&gt;0,N53*100/M53,0)</f>
        <v>93.080696791953685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316766</v>
      </c>
      <c r="N55" s="121">
        <f t="shared" ca="1" si="43"/>
        <v>294848</v>
      </c>
      <c r="O55" s="120">
        <f t="shared" ca="1" si="40"/>
        <v>48.751322751322753</v>
      </c>
      <c r="P55" s="120">
        <f t="shared" ca="1" si="41"/>
        <v>93.080696791953685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533">
        <f ca="1">IFERROR(__xludf.DUMMYFUNCTION("IMPORTRANGE(""https://docs.google.com/spreadsheets/d/1Yj_ptqi66GCucihVvJfMjLAmec39IyEx_6qawtMGysU/edit?usp=sharing"",""สบก!Z54"")"),316766)</f>
        <v>316766</v>
      </c>
      <c r="N57" s="533">
        <f ca="1">IFERROR(__xludf.DUMMYFUNCTION("IMPORTRANGE(""https://docs.google.com/spreadsheets/d/1Yj_ptqi66GCucihVvJfMjLAmec39IyEx_6qawtMGysU/edit?usp=sharing"",""สบก!AA54"")"),294848)</f>
        <v>294848</v>
      </c>
      <c r="O57" s="534">
        <f ca="1">IF(L57&gt;0,N57*100/L57,0)</f>
        <v>48.751322751322753</v>
      </c>
      <c r="P57" s="534">
        <f ca="1">IF(M57&gt;0,N57*100/M57,0)</f>
        <v>93.080696791953685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IFERROR(__xludf.DUMMYFUNCTION("IMPORTRANGE(""https://docs.google.com/spreadsheets/d/1Yj_ptqi66GCucihVvJfMjLAmec39IyEx_6qawtMGysU/edit?usp=sharing"",""สบก!V54"")"),604800)</f>
        <v>604800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IFERROR(__xludf.DUMMYFUNCTION("IMPORTRANGE(""https://docs.google.com/spreadsheets/d/1Yj_ptqi66GCucihVvJfMjLAmec39IyEx_6qawtMGysU/edit?usp=sharing"",""สบก!W54"")"),0)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IFERROR(__xludf.DUMMYFUNCTION("IMPORTRANGE(""https://docs.google.com/spreadsheets/d/1Yj_ptqi66GCucihVvJfMjLAmec39IyEx_6qawtMGysU/edit?usp=sharing"",""สบก!X54"")"),0)</f>
        <v>0</v>
      </c>
      <c r="M61" s="536"/>
      <c r="N61" s="533">
        <f ca="1">IFERROR(__xludf.DUMMYFUNCTION("IMPORTRANGE(""https://docs.google.com/spreadsheets/d/1Yj_ptqi66GCucihVvJfMjLAmec39IyEx_6qawtMGysU/edit?usp=sharing"",""สบก!AB54"")"),0)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343620</v>
      </c>
      <c r="N66" s="152">
        <f t="shared" ca="1" si="45"/>
        <v>328456</v>
      </c>
      <c r="O66" s="151">
        <f t="shared" ref="O66:O68" ca="1" si="46">IF(L66&gt;0,N66*100/L66,0)</f>
        <v>53.494462540716611</v>
      </c>
      <c r="P66" s="151">
        <f t="shared" ref="P66:P68" ca="1" si="47">IF(M66&gt;0,N66*100/M66,0)</f>
        <v>95.58698562365403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343620</v>
      </c>
      <c r="N68" s="157">
        <f t="shared" ca="1" si="49"/>
        <v>328456</v>
      </c>
      <c r="O68" s="156">
        <f t="shared" ca="1" si="46"/>
        <v>53.494462540716611</v>
      </c>
      <c r="P68" s="156">
        <f t="shared" ca="1" si="47"/>
        <v>95.58698562365403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614000</v>
      </c>
      <c r="M70" s="537">
        <f ca="1">IFERROR(__xludf.DUMMYFUNCTION("IMPORTRANGE(""https://docs.google.com/spreadsheets/d/1Yj_ptqi66GCucihVvJfMjLAmec39IyEx_6qawtMGysU/edit?usp=sharing"",""สบก!AI54"")"),343620)</f>
        <v>343620</v>
      </c>
      <c r="N70" s="538">
        <f ca="1">IFERROR(__xludf.DUMMYFUNCTION("IMPORTRANGE(""https://docs.google.com/spreadsheets/d/1Yj_ptqi66GCucihVvJfMjLAmec39IyEx_6qawtMGysU/edit?usp=sharing"",""สบก!AJ54"")"),328456)</f>
        <v>328456</v>
      </c>
      <c r="O70" s="170">
        <f ca="1">IF(L70&gt;0,N70*100/L70,0)</f>
        <v>53.494462540716611</v>
      </c>
      <c r="P70" s="170">
        <f ca="1">IF(M70&gt;0,N70*100/M70,0)</f>
        <v>95.58698562365403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IFERROR(__xludf.DUMMYFUNCTION("IMPORTRANGE(""https://docs.google.com/spreadsheets/d/1Yj_ptqi66GCucihVvJfMjLAmec39IyEx_6qawtMGysU/edit?usp=sharing"",""สบก!AE54"")"),232000)</f>
        <v>232000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IFERROR(__xludf.DUMMYFUNCTION("IMPORTRANGE(""https://docs.google.com/spreadsheets/d/1Yj_ptqi66GCucihVvJfMjLAmec39IyEx_6qawtMGysU/edit?usp=sharing"",""สบก!AF54"")"),382000)</f>
        <v>382000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IFERROR(__xludf.DUMMYFUNCTION("IMPORTRANGE(""https://docs.google.com/spreadsheets/d/1Yj_ptqi66GCucihVvJfMjLAmec39IyEx_6qawtMGysU/edit?usp=sharing"",""สบก!AG54"")"),0)</f>
        <v>0</v>
      </c>
      <c r="M74" s="536"/>
      <c r="N74" s="533">
        <f ca="1">IFERROR(__xludf.DUMMYFUNCTION("IMPORTRANGE(""https://docs.google.com/spreadsheets/d/1Yj_ptqi66GCucihVvJfMjLAmec39IyEx_6qawtMGysU/edit?usp=sharing"",""สบก!AK54"")"),0)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IFERROR(__xludf.DUMMYFUNCTION("IMPORTRANGE(""https://docs.google.com/spreadsheets/d/1XL5vhW3sbDhbH9Cz0tuDiY8C3ctxq1tqvaCgkFb8cCA/edit?usp=sharing"",""หนองบัวลำภู!J16"")"),0)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IFERROR(__xludf.DUMMYFUNCTION("IMPORTRANGE(""https://docs.google.com/spreadsheets/d/1XL5vhW3sbDhbH9Cz0tuDiY8C3ctxq1tqvaCgkFb8cCA/edit?usp=sharing"",""หนองบัวลำภู!J17"")"),1)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IFERROR(__xludf.DUMMYFUNCTION("IMPORTRANGE(""https://docs.google.com/spreadsheets/d/1XL5vhW3sbDhbH9Cz0tuDiY8C3ctxq1tqvaCgkFb8cCA/edit?usp=sharing"",""หนองบัวลำภู!J18"")"),1)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IFERROR(__xludf.DUMMYFUNCTION("IMPORTRANGE(""https://docs.google.com/spreadsheets/d/1XL5vhW3sbDhbH9Cz0tuDiY8C3ctxq1tqvaCgkFb8cCA/edit?usp=sharing"",""หนองบัวลำภู!J19"")"),1)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IFERROR(__xludf.DUMMYFUNCTION("IMPORTRANGE(""https://docs.google.com/spreadsheets/d/1XL5vhW3sbDhbH9Cz0tuDiY8C3ctxq1tqvaCgkFb8cCA/edit?usp=sharing"",""หนองบัวลำภู!I20"")"),1)</f>
        <v>1</v>
      </c>
      <c r="J80" s="202">
        <f ca="1">IFERROR(__xludf.DUMMYFUNCTION("IMPORTRANGE(""https://docs.google.com/spreadsheets/d/1XL5vhW3sbDhbH9Cz0tuDiY8C3ctxq1tqvaCgkFb8cCA/edit?usp=sharing"",""หนองบัวลำภู!J20"")"),1)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IFERROR(__xludf.DUMMYFUNCTION("IMPORTRANGE(""https://docs.google.com/spreadsheets/d/1XL5vhW3sbDhbH9Cz0tuDiY8C3ctxq1tqvaCgkFb8cCA/edit?usp=sharing"",""หนองบัวลำภู!I21"")"),30)</f>
        <v>30</v>
      </c>
      <c r="J81" s="202">
        <f ca="1">IFERROR(__xludf.DUMMYFUNCTION("IMPORTRANGE(""https://docs.google.com/spreadsheets/d/1XL5vhW3sbDhbH9Cz0tuDiY8C3ctxq1tqvaCgkFb8cCA/edit?usp=sharing"",""หนองบัวลำภู!J21"")"),30)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IFERROR(__xludf.DUMMYFUNCTION("IMPORTRANGE(""https://docs.google.com/spreadsheets/d/1XL5vhW3sbDhbH9Cz0tuDiY8C3ctxq1tqvaCgkFb8cCA/edit?usp=sharing"",""หนองบัวลำภู!I22"")"),1)</f>
        <v>1</v>
      </c>
      <c r="J82" s="205">
        <f ca="1">IFERROR(__xludf.DUMMYFUNCTION("IMPORTRANGE(""https://docs.google.com/spreadsheets/d/1XL5vhW3sbDhbH9Cz0tuDiY8C3ctxq1tqvaCgkFb8cCA/edit?usp=sharing"",""หนองบัวลำภู!J22"")"),1)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IFERROR(__xludf.DUMMYFUNCTION("IMPORTRANGE(""https://docs.google.com/spreadsheets/d/1XL5vhW3sbDhbH9Cz0tuDiY8C3ctxq1tqvaCgkFb8cCA/edit?usp=sharing"",""หนองบัวลำภู!I23"")"),30)</f>
        <v>30</v>
      </c>
      <c r="J83" s="205">
        <f ca="1">IFERROR(__xludf.DUMMYFUNCTION("IMPORTRANGE(""https://docs.google.com/spreadsheets/d/1XL5vhW3sbDhbH9Cz0tuDiY8C3ctxq1tqvaCgkFb8cCA/edit?usp=sharing"",""หนองบัวลำภู!J23"")"),30)</f>
        <v>30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IFERROR(__xludf.DUMMYFUNCTION("IMPORTRANGE(""https://docs.google.com/spreadsheets/d/1XL5vhW3sbDhbH9Cz0tuDiY8C3ctxq1tqvaCgkFb8cCA/edit?usp=sharing"",""หนองบัวลำภู!I24"")"),0)</f>
        <v>0</v>
      </c>
      <c r="J84" s="190">
        <f ca="1">IFERROR(__xludf.DUMMYFUNCTION("IMPORTRANGE(""https://docs.google.com/spreadsheets/d/1XL5vhW3sbDhbH9Cz0tuDiY8C3ctxq1tqvaCgkFb8cCA/edit?usp=sharing"",""หนองบัวลำภู!J24"")"),0)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IFERROR(__xludf.DUMMYFUNCTION("IMPORTRANGE(""https://docs.google.com/spreadsheets/d/1XL5vhW3sbDhbH9Cz0tuDiY8C3ctxq1tqvaCgkFb8cCA/edit?usp=sharing"",""หนองบัวลำภู!I25"")"),0)</f>
        <v>0</v>
      </c>
      <c r="J85" s="190">
        <f ca="1">IFERROR(__xludf.DUMMYFUNCTION("IMPORTRANGE(""https://docs.google.com/spreadsheets/d/1XL5vhW3sbDhbH9Cz0tuDiY8C3ctxq1tqvaCgkFb8cCA/edit?usp=sharing"",""หนองบัวลำภู!J25"")"),0)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IFERROR(__xludf.DUMMYFUNCTION("IMPORTRANGE(""https://docs.google.com/spreadsheets/d/1XL5vhW3sbDhbH9Cz0tuDiY8C3ctxq1tqvaCgkFb8cCA/edit?usp=sharing"",""หนองบัวลำภู!I26"")"),0)</f>
        <v>0</v>
      </c>
      <c r="J86" s="205">
        <f ca="1">IFERROR(__xludf.DUMMYFUNCTION("IMPORTRANGE(""https://docs.google.com/spreadsheets/d/1XL5vhW3sbDhbH9Cz0tuDiY8C3ctxq1tqvaCgkFb8cCA/edit?usp=sharing"",""หนองบัวลำภู!J26"")"),0)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IFERROR(__xludf.DUMMYFUNCTION("IMPORTRANGE(""https://docs.google.com/spreadsheets/d/1XL5vhW3sbDhbH9Cz0tuDiY8C3ctxq1tqvaCgkFb8cCA/edit?usp=sharing"",""หนองบัวลำภู!I27"")"),0)</f>
        <v>0</v>
      </c>
      <c r="J87" s="205">
        <f ca="1">IFERROR(__xludf.DUMMYFUNCTION("IMPORTRANGE(""https://docs.google.com/spreadsheets/d/1XL5vhW3sbDhbH9Cz0tuDiY8C3ctxq1tqvaCgkFb8cCA/edit?usp=sharing"",""หนองบัวลำภู!J27"")"),0)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IFERROR(__xludf.DUMMYFUNCTION("IMPORTRANGE(""https://docs.google.com/spreadsheets/d/1XL5vhW3sbDhbH9Cz0tuDiY8C3ctxq1tqvaCgkFb8cCA/edit?usp=sharing"",""หนองบัวลำภู!I28"")"),30)</f>
        <v>30</v>
      </c>
      <c r="J88" s="205">
        <f ca="1">IFERROR(__xludf.DUMMYFUNCTION("IMPORTRANGE(""https://docs.google.com/spreadsheets/d/1XL5vhW3sbDhbH9Cz0tuDiY8C3ctxq1tqvaCgkFb8cCA/edit?usp=sharing"",""หนองบัวลำภู!J28"")"),30)</f>
        <v>30</v>
      </c>
      <c r="K88" s="165">
        <f t="shared" ca="1" si="50"/>
        <v>100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IFERROR(__xludf.DUMMYFUNCTION("IMPORTRANGE(""https://docs.google.com/spreadsheets/d/1XL5vhW3sbDhbH9Cz0tuDiY8C3ctxq1tqvaCgkFb8cCA/edit?usp=sharing"",""หนองบัวลำภู!J29"")"),0)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IFERROR(__xludf.DUMMYFUNCTION("IMPORTRANGE(""https://docs.google.com/spreadsheets/d/1Yj_ptqi66GCucihVvJfMjLAmec39IyEx_6qawtMGysU/edit?usp=sharing"",""สบก!AR54"")"),0)</f>
        <v>0</v>
      </c>
      <c r="N98" s="538">
        <f ca="1">IFERROR(__xludf.DUMMYFUNCTION("IMPORTRANGE(""https://docs.google.com/spreadsheets/d/1Yj_ptqi66GCucihVvJfMjLAmec39IyEx_6qawtMGysU/edit?usp=sharing"",""สบก!AS54"")"),0)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IFERROR(__xludf.DUMMYFUNCTION("IMPORTRANGE(""https://docs.google.com/spreadsheets/d/1Yj_ptqi66GCucihVvJfMjLAmec39IyEx_6qawtMGysU/edit?usp=sharing"",""สบก!AN54"")"),0)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IFERROR(__xludf.DUMMYFUNCTION("IMPORTRANGE(""https://docs.google.com/spreadsheets/d/1Yj_ptqi66GCucihVvJfMjLAmec39IyEx_6qawtMGysU/edit?usp=sharing"",""สบก!AO54"")"),0)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IFERROR(__xludf.DUMMYFUNCTION("IMPORTRANGE(""https://docs.google.com/spreadsheets/d/1Yj_ptqi66GCucihVvJfMjLAmec39IyEx_6qawtMGysU/edit?usp=sharing"",""สบก!AP54"")"),0)</f>
        <v>0</v>
      </c>
      <c r="M102" s="536"/>
      <c r="N102" s="533">
        <f ca="1">IFERROR(__xludf.DUMMYFUNCTION("IMPORTRANGE(""https://docs.google.com/spreadsheets/d/1Yj_ptqi66GCucihVvJfMjLAmec39IyEx_6qawtMGysU/edit?usp=sharing"",""สบก!AT54"")"),0)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IFERROR(__xludf.DUMMYFUNCTION("IMPORTRANGE(""https://docs.google.com/spreadsheets/d/1XL5vhW3sbDhbH9Cz0tuDiY8C3ctxq1tqvaCgkFb8cCA/edit?usp=sharing"",""หนองบัวลำภู!I43"")"),0)</f>
        <v>0</v>
      </c>
      <c r="J108" s="205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IFERROR(__xludf.DUMMYFUNCTION("IMPORTRANGE(""https://docs.google.com/spreadsheets/d/1XL5vhW3sbDhbH9Cz0tuDiY8C3ctxq1tqvaCgkFb8cCA/edit?usp=sharing"",""หนองบัวลำภู!I44"")"),0)</f>
        <v>0</v>
      </c>
      <c r="J109" s="205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IFERROR(__xludf.DUMMYFUNCTION("IMPORTRANGE(""https://docs.google.com/spreadsheets/d/1XL5vhW3sbDhbH9Cz0tuDiY8C3ctxq1tqvaCgkFb8cCA/edit?usp=sharing"",""หนองบัวลำภู!I45"")"),0)</f>
        <v>0</v>
      </c>
      <c r="J110" s="205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IFERROR(__xludf.DUMMYFUNCTION("IMPORTRANGE(""https://docs.google.com/spreadsheets/d/1XL5vhW3sbDhbH9Cz0tuDiY8C3ctxq1tqvaCgkFb8cCA/edit?usp=sharing"",""หนองบัวลำภู!I46"")"),0)</f>
        <v>0</v>
      </c>
      <c r="J111" s="205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IFERROR(__xludf.DUMMYFUNCTION("IMPORTRANGE(""https://docs.google.com/spreadsheets/d/1XL5vhW3sbDhbH9Cz0tuDiY8C3ctxq1tqvaCgkFb8cCA/edit?usp=sharing"",""หนองบัวลำภู!I47"")"),0)</f>
        <v>0</v>
      </c>
      <c r="J112" s="205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IFERROR(__xludf.DUMMYFUNCTION("IMPORTRANGE(""https://docs.google.com/spreadsheets/d/1XL5vhW3sbDhbH9Cz0tuDiY8C3ctxq1tqvaCgkFb8cCA/edit?usp=sharing"",""หนองบัวลำภู!I48"")"),0)</f>
        <v>0</v>
      </c>
      <c r="J113" s="205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IFERROR(__xludf.DUMMYFUNCTION("IMPORTRANGE(""https://docs.google.com/spreadsheets/d/1Yj_ptqi66GCucihVvJfMjLAmec39IyEx_6qawtMGysU/edit?usp=sharing"",""สบก!BA54"")"),0)</f>
        <v>0</v>
      </c>
      <c r="N122" s="538">
        <f ca="1">IFERROR(__xludf.DUMMYFUNCTION("IMPORTRANGE(""https://docs.google.com/spreadsheets/d/1Yj_ptqi66GCucihVvJfMjLAmec39IyEx_6qawtMGysU/edit?usp=sharing"",""สบก!BB54"")"),0)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IFERROR(__xludf.DUMMYFUNCTION("IMPORTRANGE(""https://docs.google.com/spreadsheets/d/1Yj_ptqi66GCucihVvJfMjLAmec39IyEx_6qawtMGysU/edit?usp=sharing"",""สบก!AW54"")"),0)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IFERROR(__xludf.DUMMYFUNCTION("IMPORTRANGE(""https://docs.google.com/spreadsheets/d/1Yj_ptqi66GCucihVvJfMjLAmec39IyEx_6qawtMGysU/edit?usp=sharing"",""สบก!AX54"")"),0)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IFERROR(__xludf.DUMMYFUNCTION("IMPORTRANGE(""https://docs.google.com/spreadsheets/d/1Yj_ptqi66GCucihVvJfMjLAmec39IyEx_6qawtMGysU/edit?usp=sharing"",""สบก!AY54"")"),0)</f>
        <v>0</v>
      </c>
      <c r="M126" s="536"/>
      <c r="N126" s="533">
        <f ca="1">IFERROR(__xludf.DUMMYFUNCTION("IMPORTRANGE(""https://docs.google.com/spreadsheets/d/1Yj_ptqi66GCucihVvJfMjLAmec39IyEx_6qawtMGysU/edit?usp=sharing"",""สบก!BC54"")"),0)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271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IFERROR(__xludf.DUMMYFUNCTION("IMPORTRANGE(""https://docs.google.com/spreadsheets/d/1XL5vhW3sbDhbH9Cz0tuDiY8C3ctxq1tqvaCgkFb8cCA/edit?usp=sharing"",""หนองบัวลำภู!I62"")"),0)</f>
        <v>0</v>
      </c>
      <c r="J132" s="205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IFERROR(__xludf.DUMMYFUNCTION("IMPORTRANGE(""https://docs.google.com/spreadsheets/d/1XL5vhW3sbDhbH9Cz0tuDiY8C3ctxq1tqvaCgkFb8cCA/edit?usp=sharing"",""หนองบัวลำภู!I63"")"),0)</f>
        <v>0</v>
      </c>
      <c r="J133" s="205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212100</v>
      </c>
      <c r="M140" s="152">
        <f t="shared" ca="1" si="64"/>
        <v>240850</v>
      </c>
      <c r="N140" s="152">
        <f t="shared" ca="1" si="64"/>
        <v>226803</v>
      </c>
      <c r="O140" s="151">
        <f t="shared" ref="O140:O142" ca="1" si="65">IF(L140&gt;0,N140*100/L140,0)</f>
        <v>106.93210749646393</v>
      </c>
      <c r="P140" s="151">
        <f t="shared" ref="P140:P142" ca="1" si="66">IF(M140&gt;0,N140*100/M140,0)</f>
        <v>94.167739256798839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212100</v>
      </c>
      <c r="M142" s="157">
        <f t="shared" ca="1" si="68"/>
        <v>240850</v>
      </c>
      <c r="N142" s="157">
        <f t="shared" ca="1" si="68"/>
        <v>226803</v>
      </c>
      <c r="O142" s="156">
        <f t="shared" ca="1" si="65"/>
        <v>106.93210749646393</v>
      </c>
      <c r="P142" s="156">
        <f t="shared" ca="1" si="66"/>
        <v>94.167739256798839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212100</v>
      </c>
      <c r="M144" s="537">
        <f ca="1">IFERROR(__xludf.DUMMYFUNCTION("IMPORTRANGE(""https://docs.google.com/spreadsheets/d/1Yj_ptqi66GCucihVvJfMjLAmec39IyEx_6qawtMGysU/edit?usp=sharing"",""สบก!BJ54"")"),240850)</f>
        <v>240850</v>
      </c>
      <c r="N144" s="538">
        <f ca="1">IFERROR(__xludf.DUMMYFUNCTION("IMPORTRANGE(""https://docs.google.com/spreadsheets/d/1Yj_ptqi66GCucihVvJfMjLAmec39IyEx_6qawtMGysU/edit?usp=sharing"",""สบก!BK54"")"),226803)</f>
        <v>226803</v>
      </c>
      <c r="O144" s="170">
        <f ca="1">IF(L144&gt;0,N144*100/L144,0)</f>
        <v>106.93210749646393</v>
      </c>
      <c r="P144" s="170">
        <f ca="1">IF(M144&gt;0,N144*100/M144,0)</f>
        <v>94.167739256798839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IFERROR(__xludf.DUMMYFUNCTION("IMPORTRANGE(""https://docs.google.com/spreadsheets/d/1Yj_ptqi66GCucihVvJfMjLAmec39IyEx_6qawtMGysU/edit?usp=sharing"",""สบก!BF54"")"),95100)</f>
        <v>95100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IFERROR(__xludf.DUMMYFUNCTION("IMPORTRANGE(""https://docs.google.com/spreadsheets/d/1Yj_ptqi66GCucihVvJfMjLAmec39IyEx_6qawtMGysU/edit?usp=sharing"",""สบก!BG54"")"),117000)</f>
        <v>117000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IFERROR(__xludf.DUMMYFUNCTION("IMPORTRANGE(""https://docs.google.com/spreadsheets/d/1Yj_ptqi66GCucihVvJfMjLAmec39IyEx_6qawtMGysU/edit?usp=sharing"",""สบก!BH54"")"),0)</f>
        <v>0</v>
      </c>
      <c r="M148" s="536"/>
      <c r="N148" s="533">
        <f ca="1">IFERROR(__xludf.DUMMYFUNCTION("IMPORTRANGE(""https://docs.google.com/spreadsheets/d/1Yj_ptqi66GCucihVvJfMjLAmec39IyEx_6qawtMGysU/edit?usp=sharing"",""สบก!BL54"")"),0)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IFERROR(__xludf.DUMMYFUNCTION("IMPORTRANGE(""https://docs.google.com/spreadsheets/d/1XL5vhW3sbDhbH9Cz0tuDiY8C3ctxq1tqvaCgkFb8cCA/edit?usp=sharing"",""หนองบัวลำภู!J79"")"),0)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IFERROR(__xludf.DUMMYFUNCTION("IMPORTRANGE(""https://docs.google.com/spreadsheets/d/1XL5vhW3sbDhbH9Cz0tuDiY8C3ctxq1tqvaCgkFb8cCA/edit?usp=sharing"",""หนองบัวลำภู!J80"")"),1)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IFERROR(__xludf.DUMMYFUNCTION("IMPORTRANGE(""https://docs.google.com/spreadsheets/d/1XL5vhW3sbDhbH9Cz0tuDiY8C3ctxq1tqvaCgkFb8cCA/edit?usp=sharing"",""หนองบัวลำภู!J81"")"),0)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IFERROR(__xludf.DUMMYFUNCTION("IMPORTRANGE(""https://docs.google.com/spreadsheets/d/1XL5vhW3sbDhbH9Cz0tuDiY8C3ctxq1tqvaCgkFb8cCA/edit?usp=sharing"",""หนองบัวลำภู!J82"")"),1)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IFERROR(__xludf.DUMMYFUNCTION("IMPORTRANGE(""https://docs.google.com/spreadsheets/d/1XL5vhW3sbDhbH9Cz0tuDiY8C3ctxq1tqvaCgkFb8cCA/edit?usp=sharing"",""หนองบัวลำภู!I83"")"),4)</f>
        <v>4</v>
      </c>
      <c r="J158" s="190">
        <f ca="1">IFERROR(__xludf.DUMMYFUNCTION("IMPORTRANGE(""https://docs.google.com/spreadsheets/d/1XL5vhW3sbDhbH9Cz0tuDiY8C3ctxq1tqvaCgkFb8cCA/edit?usp=sharing"",""หนองบัวลำภู!J83"")"),2)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IFERROR(__xludf.DUMMYFUNCTION("IMPORTRANGE(""https://docs.google.com/spreadsheets/d/1XL5vhW3sbDhbH9Cz0tuDiY8C3ctxq1tqvaCgkFb8cCA/edit?usp=sharing"",""หนองบัวลำภู!J84"")"),40)</f>
        <v>40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IFERROR(__xludf.DUMMYFUNCTION("IMPORTRANGE(""https://docs.google.com/spreadsheets/d/1XL5vhW3sbDhbH9Cz0tuDiY8C3ctxq1tqvaCgkFb8cCA/edit?usp=sharing"",""หนองบัวลำภู!J85"")"),40)</f>
        <v>40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IFERROR(__xludf.DUMMYFUNCTION("IMPORTRANGE(""https://docs.google.com/spreadsheets/d/1XL5vhW3sbDhbH9Cz0tuDiY8C3ctxq1tqvaCgkFb8cCA/edit?usp=sharing"",""หนองบัวลำภู!J86"")"),0)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IFERROR(__xludf.DUMMYFUNCTION("IMPORTRANGE(""https://docs.google.com/spreadsheets/d/1XL5vhW3sbDhbH9Cz0tuDiY8C3ctxq1tqvaCgkFb8cCA/edit?usp=sharing"",""หนองบัวลำภู!J87"")"),0)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IFERROR(__xludf.DUMMYFUNCTION("IMPORTRANGE(""https://docs.google.com/spreadsheets/d/1XL5vhW3sbDhbH9Cz0tuDiY8C3ctxq1tqvaCgkFb8cCA/edit?usp=sharing"",""หนองบัวลำภู!I89"")"),3)</f>
        <v>3</v>
      </c>
      <c r="J164" s="284">
        <f ca="1">IFERROR(__xludf.DUMMYFUNCTION("IMPORTRANGE(""https://docs.google.com/spreadsheets/d/1XL5vhW3sbDhbH9Cz0tuDiY8C3ctxq1tqvaCgkFb8cCA/edit?usp=sharing"",""หนองบัวลำภู!J89"")"),2)</f>
        <v>2</v>
      </c>
      <c r="K164" s="285">
        <f ca="1">IF(I164&gt;0,J164*100/I164,0)</f>
        <v>66.666666666666671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IFERROR(__xludf.DUMMYFUNCTION("IMPORTRANGE(""https://docs.google.com/spreadsheets/d/1XL5vhW3sbDhbH9Cz0tuDiY8C3ctxq1tqvaCgkFb8cCA/edit?usp=sharing"",""หนองบัวลำภู!J94"")"),0)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IFERROR(__xludf.DUMMYFUNCTION("IMPORTRANGE(""https://docs.google.com/spreadsheets/d/1XL5vhW3sbDhbH9Cz0tuDiY8C3ctxq1tqvaCgkFb8cCA/edit?usp=sharing"",""หนองบัวลำภู!J95"")"),1)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IFERROR(__xludf.DUMMYFUNCTION("IMPORTRANGE(""https://docs.google.com/spreadsheets/d/1XL5vhW3sbDhbH9Cz0tuDiY8C3ctxq1tqvaCgkFb8cCA/edit?usp=sharing"",""หนองบัวลำภู!J96"")"),1)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IFERROR(__xludf.DUMMYFUNCTION("IMPORTRANGE(""https://docs.google.com/spreadsheets/d/1XL5vhW3sbDhbH9Cz0tuDiY8C3ctxq1tqvaCgkFb8cCA/edit?usp=sharing"",""หนองบัวลำภู!J97"")"),1)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IFERROR(__xludf.DUMMYFUNCTION("IMPORTRANGE(""https://docs.google.com/spreadsheets/d/1XL5vhW3sbDhbH9Cz0tuDiY8C3ctxq1tqvaCgkFb8cCA/edit?usp=sharing"",""หนองบัวลำภู!I98"")"),3)</f>
        <v>3</v>
      </c>
      <c r="J173" s="190">
        <f ca="1">IFERROR(__xludf.DUMMYFUNCTION("IMPORTRANGE(""https://docs.google.com/spreadsheets/d/1XL5vhW3sbDhbH9Cz0tuDiY8C3ctxq1tqvaCgkFb8cCA/edit?usp=sharing"",""หนองบัวลำภู!J98"")"),2)</f>
        <v>2</v>
      </c>
      <c r="K173" s="165">
        <f ca="1">IF(I173&gt;0,J173*100/I173,0)</f>
        <v>66.666666666666671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IFERROR(__xludf.DUMMYFUNCTION("IMPORTRANGE(""https://docs.google.com/spreadsheets/d/1XL5vhW3sbDhbH9Cz0tuDiY8C3ctxq1tqvaCgkFb8cCA/edit?usp=sharing"",""หนองบัวลำภู!J99"")"),0)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IFERROR(__xludf.DUMMYFUNCTION("IMPORTRANGE(""https://docs.google.com/spreadsheets/d/1XL5vhW3sbDhbH9Cz0tuDiY8C3ctxq1tqvaCgkFb8cCA/edit?usp=sharing"",""หนองบัวลำภู!J100"")"),0)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IFERROR(__xludf.DUMMYFUNCTION("IMPORTRANGE(""https://docs.google.com/spreadsheets/d/1XL5vhW3sbDhbH9Cz0tuDiY8C3ctxq1tqvaCgkFb8cCA/edit?usp=sharing"",""หนองบัวลำภู!I101"")"),3)</f>
        <v>3</v>
      </c>
      <c r="J176" s="284">
        <f ca="1">IFERROR(__xludf.DUMMYFUNCTION("IMPORTRANGE(""https://docs.google.com/spreadsheets/d/1XL5vhW3sbDhbH9Cz0tuDiY8C3ctxq1tqvaCgkFb8cCA/edit?usp=sharing"",""หนองบัวลำภู!J101"")"),2)</f>
        <v>2</v>
      </c>
      <c r="K176" s="285">
        <f ca="1">IF(I176&gt;0,J176*100/I176,0)</f>
        <v>66.666666666666671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IFERROR(__xludf.DUMMYFUNCTION("IMPORTRANGE(""https://docs.google.com/spreadsheets/d/1XL5vhW3sbDhbH9Cz0tuDiY8C3ctxq1tqvaCgkFb8cCA/edit?usp=sharing"",""หนองบัวลำภู!I110"")"),3)</f>
        <v>3</v>
      </c>
      <c r="J185" s="205">
        <f ca="1">IFERROR(__xludf.DUMMYFUNCTION("IMPORTRANGE(""https://docs.google.com/spreadsheets/d/1XL5vhW3sbDhbH9Cz0tuDiY8C3ctxq1tqvaCgkFb8cCA/edit?usp=sharing"",""หนองบัวลำภู!J110"")"),0)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IFERROR(__xludf.DUMMYFUNCTION("IMPORTRANGE(""https://docs.google.com/spreadsheets/d/1XL5vhW3sbDhbH9Cz0tuDiY8C3ctxq1tqvaCgkFb8cCA/edit?usp=sharing"",""หนองบัวลำภู!I111"")"),3)</f>
        <v>3</v>
      </c>
      <c r="J186" s="205">
        <f ca="1">IFERROR(__xludf.DUMMYFUNCTION("IMPORTRANGE(""https://docs.google.com/spreadsheets/d/1XL5vhW3sbDhbH9Cz0tuDiY8C3ctxq1tqvaCgkFb8cCA/edit?usp=sharing"",""หนองบัวลำภู!J111"")"),2)</f>
        <v>2</v>
      </c>
      <c r="K186" s="225">
        <f t="shared" ca="1" si="69"/>
        <v>66.666666666666671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IFERROR(__xludf.DUMMYFUNCTION("IMPORTRANGE(""https://docs.google.com/spreadsheets/d/1XL5vhW3sbDhbH9Cz0tuDiY8C3ctxq1tqvaCgkFb8cCA/edit?usp=sharing"",""หนองบัวลำภู!J112"")"),0)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IFERROR(__xludf.DUMMYFUNCTION("IMPORTRANGE(""https://docs.google.com/spreadsheets/d/1XL5vhW3sbDhbH9Cz0tuDiY8C3ctxq1tqvaCgkFb8cCA/edit?usp=sharing"",""หนองบัวลำภู!J113"")"),0)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4">
        <f ca="1">IFERROR(__xludf.DUMMYFUNCTION("IMPORTRANGE(""https://docs.google.com/spreadsheets/d/1XL5vhW3sbDhbH9Cz0tuDiY8C3ctxq1tqvaCgkFb8cCA/edit?usp=sharing"",""หนองบัวลำภู!J114"")"),0)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IFERROR(__xludf.DUMMYFUNCTION("IMPORTRANGE(""https://docs.google.com/spreadsheets/d/1XL5vhW3sbDhbH9Cz0tuDiY8C3ctxq1tqvaCgkFb8cCA/edit?usp=sharing"",""หนองบัวลำภู!J119"")"),0)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IFERROR(__xludf.DUMMYFUNCTION("IMPORTRANGE(""https://docs.google.com/spreadsheets/d/1XL5vhW3sbDhbH9Cz0tuDiY8C3ctxq1tqvaCgkFb8cCA/edit?usp=sharing"",""หนองบัวลำภู!J120"")"),1)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IFERROR(__xludf.DUMMYFUNCTION("IMPORTRANGE(""https://docs.google.com/spreadsheets/d/1XL5vhW3sbDhbH9Cz0tuDiY8C3ctxq1tqvaCgkFb8cCA/edit?usp=sharing"",""หนองบัวลำภู!J121"")"),1)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IFERROR(__xludf.DUMMYFUNCTION("IMPORTRANGE(""https://docs.google.com/spreadsheets/d/1XL5vhW3sbDhbH9Cz0tuDiY8C3ctxq1tqvaCgkFb8cCA/edit?usp=sharing"",""หนองบัวลำภู!J122"")"),1)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90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90">
        <f ca="1">IFERROR(__xludf.DUMMYFUNCTION("IMPORTRANGE(""https://docs.google.com/spreadsheets/d/1XL5vhW3sbDhbH9Cz0tuDiY8C3ctxq1tqvaCgkFb8cCA/edit?usp=sharing"",""หนองบัวลำภู!J125"")"),0)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IFERROR(__xludf.DUMMYFUNCTION("IMPORTRANGE(""https://docs.google.com/spreadsheets/d/1XL5vhW3sbDhbH9Cz0tuDiY8C3ctxq1tqvaCgkFb8cCA/edit?usp=sharing"",""หนองบัวลำภู!I126"")"),15)</f>
        <v>15</v>
      </c>
      <c r="J201" s="190">
        <f ca="1">IFERROR(__xludf.DUMMYFUNCTION("IMPORTRANGE(""https://docs.google.com/spreadsheets/d/1XL5vhW3sbDhbH9Cz0tuDiY8C3ctxq1tqvaCgkFb8cCA/edit?usp=sharing"",""หนองบัวลำภู!J126"")"),15)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IFERROR(__xludf.DUMMYFUNCTION("IMPORTRANGE(""https://docs.google.com/spreadsheets/d/1XL5vhW3sbDhbH9Cz0tuDiY8C3ctxq1tqvaCgkFb8cCA/edit?usp=sharing"",""หนองบัวลำภู!J127"")"),0)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IFERROR(__xludf.DUMMYFUNCTION("IMPORTRANGE(""https://docs.google.com/spreadsheets/d/1XL5vhW3sbDhbH9Cz0tuDiY8C3ctxq1tqvaCgkFb8cCA/edit?usp=sharing"",""หนองบัวลำภู!J128"")"),0)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IFERROR(__xludf.DUMMYFUNCTION("IMPORTRANGE(""https://docs.google.com/spreadsheets/d/1XL5vhW3sbDhbH9Cz0tuDiY8C3ctxq1tqvaCgkFb8cCA/edit?usp=sharing"",""หนองบัวลำภู!I129"")"),0)</f>
        <v>0</v>
      </c>
      <c r="J204" s="284">
        <f ca="1">IFERROR(__xludf.DUMMYFUNCTION("IMPORTRANGE(""https://docs.google.com/spreadsheets/d/1XL5vhW3sbDhbH9Cz0tuDiY8C3ctxq1tqvaCgkFb8cCA/edit?usp=sharing"",""หนองบัวลำภู!J129"")"),0)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IFERROR(__xludf.DUMMYFUNCTION("IMPORTRANGE(""https://docs.google.com/spreadsheets/d/1XL5vhW3sbDhbH9Cz0tuDiY8C3ctxq1tqvaCgkFb8cCA/edit?usp=sharing"",""หนองบัวลำภู!I138"")"),0)</f>
        <v>0</v>
      </c>
      <c r="J213" s="205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IFERROR(__xludf.DUMMYFUNCTION("IMPORTRANGE(""https://docs.google.com/spreadsheets/d/1XL5vhW3sbDhbH9Cz0tuDiY8C3ctxq1tqvaCgkFb8cCA/edit?usp=sharing"",""หนองบัวลำภู!I140"")"),0)</f>
        <v>0</v>
      </c>
      <c r="J215" s="205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IFERROR(__xludf.DUMMYFUNCTION("IMPORTRANGE(""https://docs.google.com/spreadsheets/d/1XL5vhW3sbDhbH9Cz0tuDiY8C3ctxq1tqvaCgkFb8cCA/edit?usp=sharing"",""หนองบัวลำภู!I141"")"),0)</f>
        <v>0</v>
      </c>
      <c r="J216" s="205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537">
        <f ca="1">IFERROR(__xludf.DUMMYFUNCTION("IMPORTRANGE(""https://docs.google.com/spreadsheets/d/1Yj_ptqi66GCucihVvJfMjLAmec39IyEx_6qawtMGysU/edit?usp=sharing"",""สบก!BS54"")"),19295)</f>
        <v>19295</v>
      </c>
      <c r="N224" s="538">
        <f ca="1">IFERROR(__xludf.DUMMYFUNCTION("IMPORTRANGE(""https://docs.google.com/spreadsheets/d/1Yj_ptqi66GCucihVvJfMjLAmec39IyEx_6qawtMGysU/edit?usp=sharing"",""สบก!BT54"")"),19295)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IFERROR(__xludf.DUMMYFUNCTION("IMPORTRANGE(""https://docs.google.com/spreadsheets/d/1Yj_ptqi66GCucihVvJfMjLAmec39IyEx_6qawtMGysU/edit?usp=sharing"",""สบก!BO54"")"),0)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IFERROR(__xludf.DUMMYFUNCTION("IMPORTRANGE(""https://docs.google.com/spreadsheets/d/1Yj_ptqi66GCucihVvJfMjLAmec39IyEx_6qawtMGysU/edit?usp=sharing"",""สบก!BP54"")"),19295)</f>
        <v>19295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IFERROR(__xludf.DUMMYFUNCTION("IMPORTRANGE(""https://docs.google.com/spreadsheets/d/1Yj_ptqi66GCucihVvJfMjLAmec39IyEx_6qawtMGysU/edit?usp=sharing"",""สบก!BQ54"")"),0)</f>
        <v>0</v>
      </c>
      <c r="M228" s="536"/>
      <c r="N228" s="533">
        <f ca="1">IFERROR(__xludf.DUMMYFUNCTION("IMPORTRANGE(""https://docs.google.com/spreadsheets/d/1Yj_ptqi66GCucihVvJfMjLAmec39IyEx_6qawtMGysU/edit?usp=sharing"",""สบก!BU54"")"),0)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IFERROR(__xludf.DUMMYFUNCTION("IMPORTRANGE(""https://docs.google.com/spreadsheets/d/1XL5vhW3sbDhbH9Cz0tuDiY8C3ctxq1tqvaCgkFb8cCA/edit?usp=sharing"",""หนองบัวลำภู!J151"")"),0)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IFERROR(__xludf.DUMMYFUNCTION("IMPORTRANGE(""https://docs.google.com/spreadsheets/d/1XL5vhW3sbDhbH9Cz0tuDiY8C3ctxq1tqvaCgkFb8cCA/edit?usp=sharing"",""หนองบัวลำภู!J152"")"),1)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IFERROR(__xludf.DUMMYFUNCTION("IMPORTRANGE(""https://docs.google.com/spreadsheets/d/1XL5vhW3sbDhbH9Cz0tuDiY8C3ctxq1tqvaCgkFb8cCA/edit?usp=sharing"",""หนองบัวลำภู!J153"")"),1)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IFERROR(__xludf.DUMMYFUNCTION("IMPORTRANGE(""https://docs.google.com/spreadsheets/d/1XL5vhW3sbDhbH9Cz0tuDiY8C3ctxq1tqvaCgkFb8cCA/edit?usp=sharing"",""หนองบัวลำภู!J154"")"),1)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IFERROR(__xludf.DUMMYFUNCTION("IMPORTRANGE(""https://docs.google.com/spreadsheets/d/1XL5vhW3sbDhbH9Cz0tuDiY8C3ctxq1tqvaCgkFb8cCA/edit?usp=sharing"",""หนองบัวลำภู!I155"")"),13)</f>
        <v>13</v>
      </c>
      <c r="J235" s="190">
        <f ca="1">IFERROR(__xludf.DUMMYFUNCTION("IMPORTRANGE(""https://docs.google.com/spreadsheets/d/1XL5vhW3sbDhbH9Cz0tuDiY8C3ctxq1tqvaCgkFb8cCA/edit?usp=sharing"",""หนองบัวลำภู!J155"")"),13)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IFERROR(__xludf.DUMMYFUNCTION("IMPORTRANGE(""https://docs.google.com/spreadsheets/d/1XL5vhW3sbDhbH9Cz0tuDiY8C3ctxq1tqvaCgkFb8cCA/edit?usp=sharing"",""หนองบัวลำภู!J156"")"),0)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IFERROR(__xludf.DUMMYFUNCTION("IMPORTRANGE(""https://docs.google.com/spreadsheets/d/1XL5vhW3sbDhbH9Cz0tuDiY8C3ctxq1tqvaCgkFb8cCA/edit?usp=sharing"",""หนองบัวลำภู!J157"")"),0)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IFERROR(__xludf.DUMMYFUNCTION("IMPORTRANGE(""https://docs.google.com/spreadsheets/d/1XL5vhW3sbDhbH9Cz0tuDiY8C3ctxq1tqvaCgkFb8cCA/edit?usp=sharing"",""หนองบัวลำภู!J159"")"),"")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IFERROR(__xludf.DUMMYFUNCTION("IMPORTRANGE(""https://docs.google.com/spreadsheets/d/1XL5vhW3sbDhbH9Cz0tuDiY8C3ctxq1tqvaCgkFb8cCA/edit?usp=sharing"",""หนองบัวลำภู!J161"")"),0)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IFERROR(__xludf.DUMMYFUNCTION("IMPORTRANGE(""https://docs.google.com/spreadsheets/d/1XL5vhW3sbDhbH9Cz0tuDiY8C3ctxq1tqvaCgkFb8cCA/edit?usp=sharing"",""หนองบัวลำภู!J162"")"),0)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IFERROR(__xludf.DUMMYFUNCTION("IMPORTRANGE(""https://docs.google.com/spreadsheets/d/1XL5vhW3sbDhbH9Cz0tuDiY8C3ctxq1tqvaCgkFb8cCA/edit?usp=sharing"",""หนองบัวลำภู!J163"")"),0)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IFERROR(__xludf.DUMMYFUNCTION("IMPORTRANGE(""https://docs.google.com/spreadsheets/d/1XL5vhW3sbDhbH9Cz0tuDiY8C3ctxq1tqvaCgkFb8cCA/edit?usp=sharing"",""หนองบัวลำภู!I164"")"),0)</f>
        <v>0</v>
      </c>
      <c r="J244" s="189">
        <f ca="1">IFERROR(__xludf.DUMMYFUNCTION("IMPORTRANGE(""https://docs.google.com/spreadsheets/d/1XL5vhW3sbDhbH9Cz0tuDiY8C3ctxq1tqvaCgkFb8cCA/edit?usp=sharing"",""หนองบัวลำภู!J164"")"),0)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IFERROR(__xludf.DUMMYFUNCTION("IMPORTRANGE(""https://docs.google.com/spreadsheets/d/1XL5vhW3sbDhbH9Cz0tuDiY8C3ctxq1tqvaCgkFb8cCA/edit?usp=sharing"",""หนองบัวลำภู!J165"")"),0)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IFERROR(__xludf.DUMMYFUNCTION("IMPORTRANGE(""https://docs.google.com/spreadsheets/d/1XL5vhW3sbDhbH9Cz0tuDiY8C3ctxq1tqvaCgkFb8cCA/edit?usp=sharing"",""หนองบัวลำภู!I169"")"),0)</f>
        <v>0</v>
      </c>
      <c r="J249" s="316">
        <f ca="1">IFERROR(__xludf.DUMMYFUNCTION("IMPORTRANGE(""https://docs.google.com/spreadsheets/d/1XL5vhW3sbDhbH9Cz0tuDiY8C3ctxq1tqvaCgkFb8cCA/edit?usp=sharing"",""หนองบัวลำภู!J169"")"),0)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IFERROR(__xludf.DUMMYFUNCTION("IMPORTRANGE(""https://docs.google.com/spreadsheets/d/1Yj_ptqi66GCucihVvJfMjLAmec39IyEx_6qawtMGysU/edit?usp=sharing"",""สบก!CB54"")"),0)</f>
        <v>0</v>
      </c>
      <c r="N254" s="538">
        <f ca="1">IFERROR(__xludf.DUMMYFUNCTION("IMPORTRANGE(""https://docs.google.com/spreadsheets/d/1Yj_ptqi66GCucihVvJfMjLAmec39IyEx_6qawtMGysU/edit?usp=sharing"",""สบก!CC54"")"),0)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IFERROR(__xludf.DUMMYFUNCTION("IMPORTRANGE(""https://docs.google.com/spreadsheets/d/1Yj_ptqi66GCucihVvJfMjLAmec39IyEx_6qawtMGysU/edit?usp=sharing"",""สบก!BX54"")"),0)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IFERROR(__xludf.DUMMYFUNCTION("IMPORTRANGE(""https://docs.google.com/spreadsheets/d/1Yj_ptqi66GCucihVvJfMjLAmec39IyEx_6qawtMGysU/edit?usp=sharing"",""สบก!BY54"")"),0)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IFERROR(__xludf.DUMMYFUNCTION("IMPORTRANGE(""https://docs.google.com/spreadsheets/d/1Yj_ptqi66GCucihVvJfMjLAmec39IyEx_6qawtMGysU/edit?usp=sharing"",""สบก!BZ54"")"),0)</f>
        <v>0</v>
      </c>
      <c r="M258" s="536"/>
      <c r="N258" s="533">
        <f ca="1">IFERROR(__xludf.DUMMYFUNCTION("IMPORTRANGE(""https://docs.google.com/spreadsheets/d/1Yj_ptqi66GCucihVvJfMjLAmec39IyEx_6qawtMGysU/edit?usp=sharing"",""สบก!CD54"")"),0)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IFERROR(__xludf.DUMMYFUNCTION("IMPORTRANGE(""https://docs.google.com/spreadsheets/d/1XL5vhW3sbDhbH9Cz0tuDiY8C3ctxq1tqvaCgkFb8cCA/edit?usp=sharing"",""หนองบัวลำภู!J175"")"),0)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IFERROR(__xludf.DUMMYFUNCTION("IMPORTRANGE(""https://docs.google.com/spreadsheets/d/1XL5vhW3sbDhbH9Cz0tuDiY8C3ctxq1tqvaCgkFb8cCA/edit?usp=sharing"",""หนองบัวลำภู!J176"")"),0)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IFERROR(__xludf.DUMMYFUNCTION("IMPORTRANGE(""https://docs.google.com/spreadsheets/d/1XL5vhW3sbDhbH9Cz0tuDiY8C3ctxq1tqvaCgkFb8cCA/edit?usp=sharing"",""หนองบัวลำภู!J177"")"),0)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IFERROR(__xludf.DUMMYFUNCTION("IMPORTRANGE(""https://docs.google.com/spreadsheets/d/1XL5vhW3sbDhbH9Cz0tuDiY8C3ctxq1tqvaCgkFb8cCA/edit?usp=sharing"",""หนองบัวลำภู!J178"")"),0)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IFERROR(__xludf.DUMMYFUNCTION("IMPORTRANGE(""https://docs.google.com/spreadsheets/d/1XL5vhW3sbDhbH9Cz0tuDiY8C3ctxq1tqvaCgkFb8cCA/edit?usp=sharing"",""หนองบัวลำภู!I179"")"),0)</f>
        <v>0</v>
      </c>
      <c r="J264" s="190">
        <f ca="1">IFERROR(__xludf.DUMMYFUNCTION("IMPORTRANGE(""https://docs.google.com/spreadsheets/d/1XL5vhW3sbDhbH9Cz0tuDiY8C3ctxq1tqvaCgkFb8cCA/edit?usp=sharing"",""หนองบัวลำภู!J179"")"),0)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IFERROR(__xludf.DUMMYFUNCTION("IMPORTRANGE(""https://docs.google.com/spreadsheets/d/1XL5vhW3sbDhbH9Cz0tuDiY8C3ctxq1tqvaCgkFb8cCA/edit?usp=sharing"",""หนองบัวลำภู!I180"")"),0)</f>
        <v>0</v>
      </c>
      <c r="J265" s="190">
        <f ca="1">IFERROR(__xludf.DUMMYFUNCTION("IMPORTRANGE(""https://docs.google.com/spreadsheets/d/1XL5vhW3sbDhbH9Cz0tuDiY8C3ctxq1tqvaCgkFb8cCA/edit?usp=sharing"",""หนองบัวลำภู!J180"")"),0)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IFERROR(__xludf.DUMMYFUNCTION("IMPORTRANGE(""https://docs.google.com/spreadsheets/d/1XL5vhW3sbDhbH9Cz0tuDiY8C3ctxq1tqvaCgkFb8cCA/edit?usp=sharing"",""หนองบัวลำภู!I181"")"),0)</f>
        <v>0</v>
      </c>
      <c r="J266" s="190">
        <f ca="1">IFERROR(__xludf.DUMMYFUNCTION("IMPORTRANGE(""https://docs.google.com/spreadsheets/d/1XL5vhW3sbDhbH9Cz0tuDiY8C3ctxq1tqvaCgkFb8cCA/edit?usp=sharing"",""หนองบัวลำภู!J181"")"),0)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IFERROR(__xludf.DUMMYFUNCTION("IMPORTRANGE(""https://docs.google.com/spreadsheets/d/1XL5vhW3sbDhbH9Cz0tuDiY8C3ctxq1tqvaCgkFb8cCA/edit?usp=sharing"",""หนองบัวลำภู!I182"")"),0)</f>
        <v>0</v>
      </c>
      <c r="J267" s="190">
        <f ca="1">IFERROR(__xludf.DUMMYFUNCTION("IMPORTRANGE(""https://docs.google.com/spreadsheets/d/1XL5vhW3sbDhbH9Cz0tuDiY8C3ctxq1tqvaCgkFb8cCA/edit?usp=sharing"",""หนองบัวลำภู!J182"")"),0)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IFERROR(__xludf.DUMMYFUNCTION("IMPORTRANGE(""https://docs.google.com/spreadsheets/d/1XL5vhW3sbDhbH9Cz0tuDiY8C3ctxq1tqvaCgkFb8cCA/edit?usp=sharing"",""หนองบัวลำภู!J183"")"),0)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IFERROR(__xludf.DUMMYFUNCTION("IMPORTRANGE(""https://docs.google.com/spreadsheets/d/1XL5vhW3sbDhbH9Cz0tuDiY8C3ctxq1tqvaCgkFb8cCA/edit?usp=sharing"",""หนองบัวลำภู!J184"")"),0)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IFERROR(__xludf.DUMMYFUNCTION("IMPORTRANGE(""https://docs.google.com/spreadsheets/d/1XL5vhW3sbDhbH9Cz0tuDiY8C3ctxq1tqvaCgkFb8cCA/edit?usp=sharing"",""หนองบัวลำภู!I185"")"),0)</f>
        <v>0</v>
      </c>
      <c r="J270" s="316">
        <f ca="1">IFERROR(__xludf.DUMMYFUNCTION("IMPORTRANGE(""https://docs.google.com/spreadsheets/d/1XL5vhW3sbDhbH9Cz0tuDiY8C3ctxq1tqvaCgkFb8cCA/edit?usp=sharing"",""หนองบัวลำภู!J185"")"),0)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IFERROR(__xludf.DUMMYFUNCTION("IMPORTRANGE(""https://docs.google.com/spreadsheets/d/1Yj_ptqi66GCucihVvJfMjLAmec39IyEx_6qawtMGysU/edit?usp=sharing"",""สบก!CK54"")"),0)</f>
        <v>0</v>
      </c>
      <c r="N275" s="538">
        <f ca="1">IFERROR(__xludf.DUMMYFUNCTION("IMPORTRANGE(""https://docs.google.com/spreadsheets/d/1Yj_ptqi66GCucihVvJfMjLAmec39IyEx_6qawtMGysU/edit?usp=sharing"",""สบก!CL54"")"),0)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IFERROR(__xludf.DUMMYFUNCTION("IMPORTRANGE(""https://docs.google.com/spreadsheets/d/1Yj_ptqi66GCucihVvJfMjLAmec39IyEx_6qawtMGysU/edit?usp=sharing"",""สบก!CG54"")"),0)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IFERROR(__xludf.DUMMYFUNCTION("IMPORTRANGE(""https://docs.google.com/spreadsheets/d/1Yj_ptqi66GCucihVvJfMjLAmec39IyEx_6qawtMGysU/edit?usp=sharing"",""สบก!CH54"")"),0)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IFERROR(__xludf.DUMMYFUNCTION("IMPORTRANGE(""https://docs.google.com/spreadsheets/d/1Yj_ptqi66GCucihVvJfMjLAmec39IyEx_6qawtMGysU/edit?usp=sharing"",""สบก!CI54"")"),0)</f>
        <v>0</v>
      </c>
      <c r="M279" s="536"/>
      <c r="N279" s="533">
        <f ca="1">IFERROR(__xludf.DUMMYFUNCTION("IMPORTRANGE(""https://docs.google.com/spreadsheets/d/1Yj_ptqi66GCucihVvJfMjLAmec39IyEx_6qawtMGysU/edit?usp=sharing"",""สบก!CM54"")"),0)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IFERROR(__xludf.DUMMYFUNCTION("IMPORTRANGE(""https://docs.google.com/spreadsheets/d/1XL5vhW3sbDhbH9Cz0tuDiY8C3ctxq1tqvaCgkFb8cCA/edit?usp=sharing"",""หนองบัวลำภู!J191"")"),0)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IFERROR(__xludf.DUMMYFUNCTION("IMPORTRANGE(""https://docs.google.com/spreadsheets/d/1XL5vhW3sbDhbH9Cz0tuDiY8C3ctxq1tqvaCgkFb8cCA/edit?usp=sharing"",""หนองบัวลำภู!J192"")"),0)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IFERROR(__xludf.DUMMYFUNCTION("IMPORTRANGE(""https://docs.google.com/spreadsheets/d/1XL5vhW3sbDhbH9Cz0tuDiY8C3ctxq1tqvaCgkFb8cCA/edit?usp=sharing"",""หนองบัวลำภู!J193"")"),0)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IFERROR(__xludf.DUMMYFUNCTION("IMPORTRANGE(""https://docs.google.com/spreadsheets/d/1XL5vhW3sbDhbH9Cz0tuDiY8C3ctxq1tqvaCgkFb8cCA/edit?usp=sharing"",""หนองบัวลำภู!J194"")"),0)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IFERROR(__xludf.DUMMYFUNCTION("IMPORTRANGE(""https://docs.google.com/spreadsheets/d/1XL5vhW3sbDhbH9Cz0tuDiY8C3ctxq1tqvaCgkFb8cCA/edit?usp=sharing"",""หนองบัวลำภู!I195"")"),0)</f>
        <v>0</v>
      </c>
      <c r="J285" s="190">
        <f ca="1">IFERROR(__xludf.DUMMYFUNCTION("IMPORTRANGE(""https://docs.google.com/spreadsheets/d/1XL5vhW3sbDhbH9Cz0tuDiY8C3ctxq1tqvaCgkFb8cCA/edit?usp=sharing"",""หนองบัวลำภู!J195"")"),0)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IFERROR(__xludf.DUMMYFUNCTION("IMPORTRANGE(""https://docs.google.com/spreadsheets/d/1XL5vhW3sbDhbH9Cz0tuDiY8C3ctxq1tqvaCgkFb8cCA/edit?usp=sharing"",""หนองบัวลำภู!J196"")"),0)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IFERROR(__xludf.DUMMYFUNCTION("IMPORTRANGE(""https://docs.google.com/spreadsheets/d/1XL5vhW3sbDhbH9Cz0tuDiY8C3ctxq1tqvaCgkFb8cCA/edit?usp=sharing"",""หนองบัวลำภู!I199"")"),0)</f>
        <v>0</v>
      </c>
      <c r="J289" s="316">
        <f ca="1">IFERROR(__xludf.DUMMYFUNCTION("IMPORTRANGE(""https://docs.google.com/spreadsheets/d/1XL5vhW3sbDhbH9Cz0tuDiY8C3ctxq1tqvaCgkFb8cCA/edit?usp=sharing"",""หนองบัวลำภู!J199"")"),0)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IFERROR(__xludf.DUMMYFUNCTION("IMPORTRANGE(""https://docs.google.com/spreadsheets/d/1Yj_ptqi66GCucihVvJfMjLAmec39IyEx_6qawtMGysU/edit?usp=sharing"",""สบก!CT54"")"),0)</f>
        <v>0</v>
      </c>
      <c r="N294" s="538">
        <f ca="1">IFERROR(__xludf.DUMMYFUNCTION("IMPORTRANGE(""https://docs.google.com/spreadsheets/d/1Yj_ptqi66GCucihVvJfMjLAmec39IyEx_6qawtMGysU/edit?usp=sharing"",""สบก!CU54"")"),0)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IFERROR(__xludf.DUMMYFUNCTION("IMPORTRANGE(""https://docs.google.com/spreadsheets/d/1Yj_ptqi66GCucihVvJfMjLAmec39IyEx_6qawtMGysU/edit?usp=sharing"",""สบก!CP54"")"),0)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IFERROR(__xludf.DUMMYFUNCTION("IMPORTRANGE(""https://docs.google.com/spreadsheets/d/1Yj_ptqi66GCucihVvJfMjLAmec39IyEx_6qawtMGysU/edit?usp=sharing"",""สบก!CQ54"")"),0)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IFERROR(__xludf.DUMMYFUNCTION("IMPORTRANGE(""https://docs.google.com/spreadsheets/d/1Yj_ptqi66GCucihVvJfMjLAmec39IyEx_6qawtMGysU/edit?usp=sharing"",""สบก!CR54"")"),0)</f>
        <v>0</v>
      </c>
      <c r="M298" s="536"/>
      <c r="N298" s="533">
        <f ca="1">IFERROR(__xludf.DUMMYFUNCTION("IMPORTRANGE(""https://docs.google.com/spreadsheets/d/1Yj_ptqi66GCucihVvJfMjLAmec39IyEx_6qawtMGysU/edit?usp=sharing"",""สบก!CV54"")"),0)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IFERROR(__xludf.DUMMYFUNCTION("IMPORTRANGE(""https://docs.google.com/spreadsheets/d/1XL5vhW3sbDhbH9Cz0tuDiY8C3ctxq1tqvaCgkFb8cCA/edit?usp=sharing"",""หนองบัวลำภู!I209"")"),0)</f>
        <v>0</v>
      </c>
      <c r="J304" s="205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IFERROR(__xludf.DUMMYFUNCTION("IMPORTRANGE(""https://docs.google.com/spreadsheets/d/1XL5vhW3sbDhbH9Cz0tuDiY8C3ctxq1tqvaCgkFb8cCA/edit?usp=sharing"",""หนองบัวลำภู!I211"")"),0)</f>
        <v>0</v>
      </c>
      <c r="J306" s="205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IFERROR(__xludf.DUMMYFUNCTION("IMPORTRANGE(""https://docs.google.com/spreadsheets/d/1XL5vhW3sbDhbH9Cz0tuDiY8C3ctxq1tqvaCgkFb8cCA/edit?usp=sharing"",""หนองบัวลำภู!I214"")"),0)</f>
        <v>0</v>
      </c>
      <c r="J309" s="333">
        <f ca="1">IFERROR(__xludf.DUMMYFUNCTION("IMPORTRANGE(""https://docs.google.com/spreadsheets/d/1XL5vhW3sbDhbH9Cz0tuDiY8C3ctxq1tqvaCgkFb8cCA/edit?usp=sharing"",""หนองบัวลำภู!J214"")"),0)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IFERROR(__xludf.DUMMYFUNCTION("IMPORTRANGE(""https://docs.google.com/spreadsheets/d/1Yj_ptqi66GCucihVvJfMjLAmec39IyEx_6qawtMGysU/edit?usp=sharing"",""สบก!DC54"")"),0)</f>
        <v>0</v>
      </c>
      <c r="N314" s="538">
        <f ca="1">IFERROR(__xludf.DUMMYFUNCTION("IMPORTRANGE(""https://docs.google.com/spreadsheets/d/1Yj_ptqi66GCucihVvJfMjLAmec39IyEx_6qawtMGysU/edit?usp=sharing"",""สบก!DD54"")"),0)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IFERROR(__xludf.DUMMYFUNCTION("IMPORTRANGE(""https://docs.google.com/spreadsheets/d/1Yj_ptqi66GCucihVvJfMjLAmec39IyEx_6qawtMGysU/edit?usp=sharing"",""สบก!CY54"")"),0)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IFERROR(__xludf.DUMMYFUNCTION("IMPORTRANGE(""https://docs.google.com/spreadsheets/d/1Yj_ptqi66GCucihVvJfMjLAmec39IyEx_6qawtMGysU/edit?usp=sharing"",""สบก!CZ54"")"),0)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IFERROR(__xludf.DUMMYFUNCTION("IMPORTRANGE(""https://docs.google.com/spreadsheets/d/1Yj_ptqi66GCucihVvJfMjLAmec39IyEx_6qawtMGysU/edit?usp=sharing"",""สบก!DA54"")"),0)</f>
        <v>0</v>
      </c>
      <c r="M318" s="536"/>
      <c r="N318" s="533">
        <f ca="1">IFERROR(__xludf.DUMMYFUNCTION("IMPORTRANGE(""https://docs.google.com/spreadsheets/d/1Yj_ptqi66GCucihVvJfMjLAmec39IyEx_6qawtMGysU/edit?usp=sharing"",""สบก!DE54"")"),0)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IFERROR(__xludf.DUMMYFUNCTION("IMPORTRANGE(""https://docs.google.com/spreadsheets/d/1XL5vhW3sbDhbH9Cz0tuDiY8C3ctxq1tqvaCgkFb8cCA/edit?usp=sharing"",""หนองบัวลำภู!I224"")"),0)</f>
        <v>0</v>
      </c>
      <c r="J324" s="205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IFERROR(__xludf.DUMMYFUNCTION("IMPORTRANGE(""https://docs.google.com/spreadsheets/d/1XL5vhW3sbDhbH9Cz0tuDiY8C3ctxq1tqvaCgkFb8cCA/edit?usp=sharing"",""หนองบัวลำภู!I228"")"),440)</f>
        <v>440</v>
      </c>
      <c r="J328" s="339">
        <f ca="1">IFERROR(__xludf.DUMMYFUNCTION("IMPORTRANGE(""https://docs.google.com/spreadsheets/d/1XL5vhW3sbDhbH9Cz0tuDiY8C3ctxq1tqvaCgkFb8cCA/edit?usp=sharing"",""หนองบัวลำภู!J228"")"),59)</f>
        <v>59</v>
      </c>
      <c r="K328" s="317">
        <f ca="1">IF(I328&gt;0,J328*100/I328,0)</f>
        <v>13.409090909090908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1085310</v>
      </c>
      <c r="M329" s="152">
        <f t="shared" ca="1" si="98"/>
        <v>637510</v>
      </c>
      <c r="N329" s="152">
        <f t="shared" ca="1" si="98"/>
        <v>579488</v>
      </c>
      <c r="O329" s="151">
        <f t="shared" ref="O329:O331" ca="1" si="99">IF(L329&gt;0,N329*100/L329,0)</f>
        <v>53.393776893237877</v>
      </c>
      <c r="P329" s="151">
        <f t="shared" ref="P329:P331" ca="1" si="100">IF(M329&gt;0,N329*100/M329,0)</f>
        <v>90.898652570155761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1085310</v>
      </c>
      <c r="M331" s="157">
        <f t="shared" ca="1" si="102"/>
        <v>637510</v>
      </c>
      <c r="N331" s="157">
        <f t="shared" ca="1" si="102"/>
        <v>579488</v>
      </c>
      <c r="O331" s="156">
        <f t="shared" ca="1" si="99"/>
        <v>53.393776893237877</v>
      </c>
      <c r="P331" s="156">
        <f t="shared" ca="1" si="100"/>
        <v>90.898652570155761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1036410</v>
      </c>
      <c r="M333" s="537">
        <f ca="1">IFERROR(__xludf.DUMMYFUNCTION("IMPORTRANGE(""https://docs.google.com/spreadsheets/d/1Yj_ptqi66GCucihVvJfMjLAmec39IyEx_6qawtMGysU/edit?usp=sharing"",""สบก!DL54"")"),588610)</f>
        <v>588610</v>
      </c>
      <c r="N333" s="538">
        <f ca="1">IFERROR(__xludf.DUMMYFUNCTION("IMPORTRANGE(""https://docs.google.com/spreadsheets/d/1Yj_ptqi66GCucihVvJfMjLAmec39IyEx_6qawtMGysU/edit?usp=sharing"",""สบก!DM54"")"),530588)</f>
        <v>530588</v>
      </c>
      <c r="O333" s="170">
        <f ca="1">IF(L333&gt;0,N333*100/L333,0)</f>
        <v>51.194797425729199</v>
      </c>
      <c r="P333" s="170">
        <f ca="1">IF(M333&gt;0,N333*100/M333,0)</f>
        <v>90.142539202527985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IFERROR(__xludf.DUMMYFUNCTION("IMPORTRANGE(""https://docs.google.com/spreadsheets/d/1Yj_ptqi66GCucihVvJfMjLAmec39IyEx_6qawtMGysU/edit?usp=sharing"",""สบก!DH54"")"),306000)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IFERROR(__xludf.DUMMYFUNCTION("IMPORTRANGE(""https://docs.google.com/spreadsheets/d/1Yj_ptqi66GCucihVvJfMjLAmec39IyEx_6qawtMGysU/edit?usp=sharing"",""สบก!DI54"")"),730410)</f>
        <v>730410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IFERROR(__xludf.DUMMYFUNCTION("IMPORTRANGE(""https://docs.google.com/spreadsheets/d/1Yj_ptqi66GCucihVvJfMjLAmec39IyEx_6qawtMGysU/edit?usp=sharing"",""สบก!DJ54"")"),48900)</f>
        <v>48900</v>
      </c>
      <c r="M337" s="536">
        <f ca="1">L337</f>
        <v>48900</v>
      </c>
      <c r="N337" s="533">
        <f ca="1">IFERROR(__xludf.DUMMYFUNCTION("IMPORTRANGE(""https://docs.google.com/spreadsheets/d/1Yj_ptqi66GCucihVvJfMjLAmec39IyEx_6qawtMGysU/edit?usp=sharing"",""สบก!DN54"")"),48900)</f>
        <v>48900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IFERROR(__xludf.DUMMYFUNCTION("IMPORTRANGE(""https://docs.google.com/spreadsheets/d/1XL5vhW3sbDhbH9Cz0tuDiY8C3ctxq1tqvaCgkFb8cCA/edit?usp=sharing"",""หนองบัวลำภู!I234"")"),0)</f>
        <v>0</v>
      </c>
      <c r="J339" s="189">
        <f ca="1">IFERROR(__xludf.DUMMYFUNCTION("IMPORTRANGE(""https://docs.google.com/spreadsheets/d/1XL5vhW3sbDhbH9Cz0tuDiY8C3ctxq1tqvaCgkFb8cCA/edit?usp=sharing"",""หนองบัวลำภู!J234"")"),121)</f>
        <v>121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IFERROR(__xludf.DUMMYFUNCTION("IMPORTRANGE(""https://docs.google.com/spreadsheets/d/1XL5vhW3sbDhbH9Cz0tuDiY8C3ctxq1tqvaCgkFb8cCA/edit?usp=sharing"",""หนองบัวลำภู!I235"")"),4400)</f>
        <v>4400</v>
      </c>
      <c r="J340" s="189">
        <f ca="1">IFERROR(__xludf.DUMMYFUNCTION("IMPORTRANGE(""https://docs.google.com/spreadsheets/d/1XL5vhW3sbDhbH9Cz0tuDiY8C3ctxq1tqvaCgkFb8cCA/edit?usp=sharing"",""หนองบัวลำภู!J235"")"),1046.76)</f>
        <v>1046.76</v>
      </c>
      <c r="K340" s="342">
        <f t="shared" ca="1" si="103"/>
        <v>23.79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IFERROR(__xludf.DUMMYFUNCTION("IMPORTRANGE(""https://docs.google.com/spreadsheets/d/1XL5vhW3sbDhbH9Cz0tuDiY8C3ctxq1tqvaCgkFb8cCA/edit?usp=sharing"",""หนองบัวลำภู!I236"")"),440)</f>
        <v>440</v>
      </c>
      <c r="J341" s="189">
        <f ca="1">IFERROR(__xludf.DUMMYFUNCTION("IMPORTRANGE(""https://docs.google.com/spreadsheets/d/1XL5vhW3sbDhbH9Cz0tuDiY8C3ctxq1tqvaCgkFb8cCA/edit?usp=sharing"",""หนองบัวลำภู!J236"")"),143)</f>
        <v>143</v>
      </c>
      <c r="K341" s="342">
        <f t="shared" ca="1" si="103"/>
        <v>32.5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9">
        <f ca="1">IFERROR(__xludf.DUMMYFUNCTION("IMPORTRANGE(""https://docs.google.com/spreadsheets/d/1XL5vhW3sbDhbH9Cz0tuDiY8C3ctxq1tqvaCgkFb8cCA/edit?usp=sharing"",""หนองบัวลำภู!J237"")"),1872.12)</f>
        <v>1872.12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IFERROR(__xludf.DUMMYFUNCTION("IMPORTRANGE(""https://docs.google.com/spreadsheets/d/1XL5vhW3sbDhbH9Cz0tuDiY8C3ctxq1tqvaCgkFb8cCA/edit?usp=sharing"",""หนองบัวลำภู!I238"")"),440)</f>
        <v>440</v>
      </c>
      <c r="J343" s="189">
        <f ca="1">IFERROR(__xludf.DUMMYFUNCTION("IMPORTRANGE(""https://docs.google.com/spreadsheets/d/1XL5vhW3sbDhbH9Cz0tuDiY8C3ctxq1tqvaCgkFb8cCA/edit?usp=sharing"",""หนองบัวลำภู!J238"")"),0)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9">
        <f ca="1">IFERROR(__xludf.DUMMYFUNCTION("IMPORTRANGE(""https://docs.google.com/spreadsheets/d/1XL5vhW3sbDhbH9Cz0tuDiY8C3ctxq1tqvaCgkFb8cCA/edit?usp=sharing"",""หนองบัวลำภู!J239"")"),0)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IFERROR(__xludf.DUMMYFUNCTION("IMPORTRANGE(""https://docs.google.com/spreadsheets/d/1XL5vhW3sbDhbH9Cz0tuDiY8C3ctxq1tqvaCgkFb8cCA/edit?usp=sharing"",""หนองบัวลำภู!I240"")"),440)</f>
        <v>440</v>
      </c>
      <c r="J345" s="189">
        <f ca="1">IFERROR(__xludf.DUMMYFUNCTION("IMPORTRANGE(""https://docs.google.com/spreadsheets/d/1XL5vhW3sbDhbH9Cz0tuDiY8C3ctxq1tqvaCgkFb8cCA/edit?usp=sharing"",""หนองบัวลำภู!J240"")"),59)</f>
        <v>59</v>
      </c>
      <c r="K345" s="342">
        <f t="shared" ca="1" si="103"/>
        <v>13.409090909090908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9">
        <f ca="1">IFERROR(__xludf.DUMMYFUNCTION("IMPORTRANGE(""https://docs.google.com/spreadsheets/d/1XL5vhW3sbDhbH9Cz0tuDiY8C3ctxq1tqvaCgkFb8cCA/edit?usp=sharing"",""หนองบัวลำภู!J241"")"),624.43)</f>
        <v>624.42999999999995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IFERROR(__xludf.DUMMYFUNCTION("IMPORTRANGE(""https://docs.google.com/spreadsheets/d/1XL5vhW3sbDhbH9Cz0tuDiY8C3ctxq1tqvaCgkFb8cCA/edit?usp=sharing"",""หนองบัวลำภู!L242"")"),3460636)</f>
        <v>3460636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IFERROR(__xludf.DUMMYFUNCTION("IMPORTRANGE(""https://docs.google.com/spreadsheets/d/1XL5vhW3sbDhbH9Cz0tuDiY8C3ctxq1tqvaCgkFb8cCA/edit?usp=sharing"",""หนองบัวลำภู!M242"")"),849480.13)</f>
        <v>849480.13</v>
      </c>
      <c r="O347" s="358">
        <f ca="1">+IF(L347&gt;0,N347*100/L347,0)</f>
        <v>24.546936748042846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IFERROR(__xludf.DUMMYFUNCTION("IMPORTRANGE(""https://docs.google.com/spreadsheets/d/1XL5vhW3sbDhbH9Cz0tuDiY8C3ctxq1tqvaCgkFb8cCA/edit?usp=sharing"",""หนองบัวลำภู!M244"")"),107343.72)</f>
        <v>107343.72</v>
      </c>
      <c r="O349" s="373">
        <f ca="1">+IF(L349&gt;0,N349*100/L349,0)</f>
        <v>17.437817992787291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IFERROR(__xludf.DUMMYFUNCTION("IMPORTRANGE(""https://docs.google.com/spreadsheets/d/1XL5vhW3sbDhbH9Cz0tuDiY8C3ctxq1tqvaCgkFb8cCA/edit?usp=sharing"",""หนองบัวลำภู!L246"")"),0)</f>
        <v>0</v>
      </c>
      <c r="M351" s="166"/>
      <c r="N351" s="166">
        <f ca="1">IFERROR(__xludf.DUMMYFUNCTION("IMPORTRANGE(""https://docs.google.com/spreadsheets/d/1XL5vhW3sbDhbH9Cz0tuDiY8C3ctxq1tqvaCgkFb8cCA/edit?usp=sharing"",""หนองบัวลำภู!M246"")"),0)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7"/>
      <c r="N352" s="166">
        <f ca="1">IFERROR(__xludf.DUMMYFUNCTION("IMPORTRANGE(""https://docs.google.com/spreadsheets/d/1XL5vhW3sbDhbH9Cz0tuDiY8C3ctxq1tqvaCgkFb8cCA/edit?usp=sharing"",""หนองบัวลำภู!M247"")"),107343.72)</f>
        <v>107343.72</v>
      </c>
      <c r="O352" s="167">
        <f t="shared" ca="1" si="105"/>
        <v>17.437817992787291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IFERROR(__xludf.DUMMYFUNCTION("IMPORTRANGE(""https://docs.google.com/spreadsheets/d/1XL5vhW3sbDhbH9Cz0tuDiY8C3ctxq1tqvaCgkFb8cCA/edit?usp=sharing"",""หนองบัวลำภู!L248"")"),0)</f>
        <v>0</v>
      </c>
      <c r="M353" s="170"/>
      <c r="N353" s="170">
        <f ca="1">IFERROR(__xludf.DUMMYFUNCTION("IMPORTRANGE(""https://docs.google.com/spreadsheets/d/1XL5vhW3sbDhbH9Cz0tuDiY8C3ctxq1tqvaCgkFb8cCA/edit?usp=sharing"",""หนองบัวลำภู!M248"")"),0)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70"/>
      <c r="N354" s="169">
        <f ca="1">IFERROR(__xludf.DUMMYFUNCTION("IMPORTRANGE(""https://docs.google.com/spreadsheets/d/1XL5vhW3sbDhbH9Cz0tuDiY8C3ctxq1tqvaCgkFb8cCA/edit?usp=sharing"",""หนองบัวลำภู!M249"")"),107343.72)</f>
        <v>107343.72</v>
      </c>
      <c r="O354" s="170">
        <f t="shared" ca="1" si="105"/>
        <v>17.437817992787291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IFERROR(__xludf.DUMMYFUNCTION("IMPORTRANGE(""https://docs.google.com/spreadsheets/d/1XL5vhW3sbDhbH9Cz0tuDiY8C3ctxq1tqvaCgkFb8cCA/edit?usp=sharing"",""หนองบัวลำภู!M250"")"),41378)</f>
        <v>41378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IFERROR(__xludf.DUMMYFUNCTION("IMPORTRANGE(""https://docs.google.com/spreadsheets/d/1XL5vhW3sbDhbH9Cz0tuDiY8C3ctxq1tqvaCgkFb8cCA/edit?usp=sharing"",""หนองบัวลำภู!M251"")"),5179)</f>
        <v>5179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IFERROR(__xludf.DUMMYFUNCTION("IMPORTRANGE(""https://docs.google.com/spreadsheets/d/1XL5vhW3sbDhbH9Cz0tuDiY8C3ctxq1tqvaCgkFb8cCA/edit?usp=sharing"",""หนองบัวลำภู!M252"")"),49866.72)</f>
        <v>49866.720000000001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IFERROR(__xludf.DUMMYFUNCTION("IMPORTRANGE(""https://docs.google.com/spreadsheets/d/1XL5vhW3sbDhbH9Cz0tuDiY8C3ctxq1tqvaCgkFb8cCA/edit?usp=sharing"",""หนองบัวลำภู!M253"")"),10920)</f>
        <v>10920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IFERROR(__xludf.DUMMYFUNCTION("IMPORTRANGE(""https://docs.google.com/spreadsheets/d/1XL5vhW3sbDhbH9Cz0tuDiY8C3ctxq1tqvaCgkFb8cCA/edit?usp=sharing"",""หนองบัวลำภู!J255"")"),0)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IFERROR(__xludf.DUMMYFUNCTION("IMPORTRANGE(""https://docs.google.com/spreadsheets/d/1XL5vhW3sbDhbH9Cz0tuDiY8C3ctxq1tqvaCgkFb8cCA/edit?usp=sharing"",""หนองบัวลำภู!J256"")"),1)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IFERROR(__xludf.DUMMYFUNCTION("IMPORTRANGE(""https://docs.google.com/spreadsheets/d/1XL5vhW3sbDhbH9Cz0tuDiY8C3ctxq1tqvaCgkFb8cCA/edit?usp=sharing"",""หนองบัวลำภู!J257"")"),1)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IFERROR(__xludf.DUMMYFUNCTION("IMPORTRANGE(""https://docs.google.com/spreadsheets/d/1XL5vhW3sbDhbH9Cz0tuDiY8C3ctxq1tqvaCgkFb8cCA/edit?usp=sharing"",""หนองบัวลำภู!J258"")"),1)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IFERROR(__xludf.DUMMYFUNCTION("IMPORTRANGE(""https://docs.google.com/spreadsheets/d/1XL5vhW3sbDhbH9Cz0tuDiY8C3ctxq1tqvaCgkFb8cCA/edit?usp=sharing"",""หนองบัวลำภู!J166"")"),0)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IFERROR(__xludf.DUMMYFUNCTION("IMPORTRANGE(""https://docs.google.com/spreadsheets/d/1XL5vhW3sbDhbH9Cz0tuDiY8C3ctxq1tqvaCgkFb8cCA/edit?usp=sharing"",""หนองบัวลำภู!J166"")"),0)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IFERROR(__xludf.DUMMYFUNCTION("IMPORTRANGE(""https://docs.google.com/spreadsheets/d/1XL5vhW3sbDhbH9Cz0tuDiY8C3ctxq1tqvaCgkFb8cCA/edit?usp=sharing"",""หนองบัวลำภู!J166"")"),0)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IFERROR(__xludf.DUMMYFUNCTION("IMPORTRANGE(""https://docs.google.com/spreadsheets/d/1XL5vhW3sbDhbH9Cz0tuDiY8C3ctxq1tqvaCgkFb8cCA/edit?usp=sharing"",""หนองบัวลำภู!J166"")"),0)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IFERROR(__xludf.DUMMYFUNCTION("IMPORTRANGE(""https://docs.google.com/spreadsheets/d/1XL5vhW3sbDhbH9Cz0tuDiY8C3ctxq1tqvaCgkFb8cCA/edit?usp=sharing"",""หนองบัวลำภู!I263"")"),90)</f>
        <v>90</v>
      </c>
      <c r="J368" s="189">
        <f ca="1">IFERROR(__xludf.DUMMYFUNCTION("IMPORTRANGE(""https://docs.google.com/spreadsheets/d/1XL5vhW3sbDhbH9Cz0tuDiY8C3ctxq1tqvaCgkFb8cCA/edit?usp=sharing"",""หนองบัวลำภู!J263"")"),0)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IFERROR(__xludf.DUMMYFUNCTION("IMPORTRANGE(""https://docs.google.com/spreadsheets/d/1XL5vhW3sbDhbH9Cz0tuDiY8C3ctxq1tqvaCgkFb8cCA/edit?usp=sharing"",""หนองบัวลำภู!I164"")"),0)</f>
        <v>0</v>
      </c>
      <c r="J369" s="205">
        <f ca="1">IFERROR(__xludf.DUMMYFUNCTION("IMPORTRANGE(""https://docs.google.com/spreadsheets/d/1XL5vhW3sbDhbH9Cz0tuDiY8C3ctxq1tqvaCgkFb8cCA/edit?usp=sharing"",""หนองบัวลำภู!J164"")"),0)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IFERROR(__xludf.DUMMYFUNCTION("IMPORTRANGE(""https://docs.google.com/spreadsheets/d/1XL5vhW3sbDhbH9Cz0tuDiY8C3ctxq1tqvaCgkFb8cCA/edit?usp=sharing"",""หนองบัวลำภู!I265"")"),90)</f>
        <v>90</v>
      </c>
      <c r="J370" s="205">
        <f ca="1">IFERROR(__xludf.DUMMYFUNCTION("IMPORTRANGE(""https://docs.google.com/spreadsheets/d/1XL5vhW3sbDhbH9Cz0tuDiY8C3ctxq1tqvaCgkFb8cCA/edit?usp=sharing"",""หนองบัวลำภู!J265"")"),40)</f>
        <v>40</v>
      </c>
      <c r="K370" s="165">
        <f t="shared" ca="1" si="106"/>
        <v>44.444444444444443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IFERROR(__xludf.DUMMYFUNCTION("IMPORTRANGE(""https://docs.google.com/spreadsheets/d/1XL5vhW3sbDhbH9Cz0tuDiY8C3ctxq1tqvaCgkFb8cCA/edit?usp=sharing"",""หนองบัวลำภู!I164"")"),0)</f>
        <v>0</v>
      </c>
      <c r="J371" s="190">
        <f ca="1">IFERROR(__xludf.DUMMYFUNCTION("IMPORTRANGE(""https://docs.google.com/spreadsheets/d/1XL5vhW3sbDhbH9Cz0tuDiY8C3ctxq1tqvaCgkFb8cCA/edit?usp=sharing"",""หนองบัวลำภู!J164"")"),0)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IFERROR(__xludf.DUMMYFUNCTION("IMPORTRANGE(""https://docs.google.com/spreadsheets/d/1XL5vhW3sbDhbH9Cz0tuDiY8C3ctxq1tqvaCgkFb8cCA/edit?usp=sharing"",""หนองบัวลำภู!I267"")"),90)</f>
        <v>90</v>
      </c>
      <c r="J372" s="190">
        <f ca="1">IFERROR(__xludf.DUMMYFUNCTION("IMPORTRANGE(""https://docs.google.com/spreadsheets/d/1XL5vhW3sbDhbH9Cz0tuDiY8C3ctxq1tqvaCgkFb8cCA/edit?usp=sharing"",""หนองบัวลำภู!J267"")"),0)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IFERROR(__xludf.DUMMYFUNCTION("IMPORTRANGE(""https://docs.google.com/spreadsheets/d/1XL5vhW3sbDhbH9Cz0tuDiY8C3ctxq1tqvaCgkFb8cCA/edit?usp=sharing"",""หนองบัวลำภู!I164"")"),0)</f>
        <v>0</v>
      </c>
      <c r="J373" s="205">
        <f ca="1">IFERROR(__xludf.DUMMYFUNCTION("IMPORTRANGE(""https://docs.google.com/spreadsheets/d/1XL5vhW3sbDhbH9Cz0tuDiY8C3ctxq1tqvaCgkFb8cCA/edit?usp=sharing"",""หนองบัวลำภู!J164"")"),0)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IFERROR(__xludf.DUMMYFUNCTION("IMPORTRANGE(""https://docs.google.com/spreadsheets/d/1XL5vhW3sbDhbH9Cz0tuDiY8C3ctxq1tqvaCgkFb8cCA/edit?usp=sharing"",""หนองบัวลำภู!I164"")"),0)</f>
        <v>0</v>
      </c>
      <c r="J374" s="189">
        <f ca="1">IFERROR(__xludf.DUMMYFUNCTION("IMPORTRANGE(""https://docs.google.com/spreadsheets/d/1XL5vhW3sbDhbH9Cz0tuDiY8C3ctxq1tqvaCgkFb8cCA/edit?usp=sharing"",""หนองบัวลำภู!J164"")"),0)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IFERROR(__xludf.DUMMYFUNCTION("IMPORTRANGE(""https://docs.google.com/spreadsheets/d/1XL5vhW3sbDhbH9Cz0tuDiY8C3ctxq1tqvaCgkFb8cCA/edit?usp=sharing"",""หนองบัวลำภู!I270"")"),392)</f>
        <v>392</v>
      </c>
      <c r="J375" s="189">
        <f ca="1">IFERROR(__xludf.DUMMYFUNCTION("IMPORTRANGE(""https://docs.google.com/spreadsheets/d/1XL5vhW3sbDhbH9Cz0tuDiY8C3ctxq1tqvaCgkFb8cCA/edit?usp=sharing"",""หนองบัวลำภู!J270"")"),0)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IFERROR(__xludf.DUMMYFUNCTION("IMPORTRANGE(""https://docs.google.com/spreadsheets/d/1XL5vhW3sbDhbH9Cz0tuDiY8C3ctxq1tqvaCgkFb8cCA/edit?usp=sharing"",""หนองบัวลำภู!I271"")"),20)</f>
        <v>20</v>
      </c>
      <c r="J376" s="190">
        <f ca="1">IFERROR(__xludf.DUMMYFUNCTION("IMPORTRANGE(""https://docs.google.com/spreadsheets/d/1XL5vhW3sbDhbH9Cz0tuDiY8C3ctxq1tqvaCgkFb8cCA/edit?usp=sharing"",""หนองบัวลำภู!J271"")"),0)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IFERROR(__xludf.DUMMYFUNCTION("IMPORTRANGE(""https://docs.google.com/spreadsheets/d/1XL5vhW3sbDhbH9Cz0tuDiY8C3ctxq1tqvaCgkFb8cCA/edit?usp=sharing"",""หนองบัวลำภู!I272"")"),372)</f>
        <v>372</v>
      </c>
      <c r="J377" s="205">
        <f ca="1">IFERROR(__xludf.DUMMYFUNCTION("IMPORTRANGE(""https://docs.google.com/spreadsheets/d/1XL5vhW3sbDhbH9Cz0tuDiY8C3ctxq1tqvaCgkFb8cCA/edit?usp=sharing"",""หนองบัวลำภู!J272"")"),0)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IFERROR(__xludf.DUMMYFUNCTION("IMPORTRANGE(""https://docs.google.com/spreadsheets/d/1XL5vhW3sbDhbH9Cz0tuDiY8C3ctxq1tqvaCgkFb8cCA/edit?usp=sharing"",""หนองบัวลำภู!J273"")"),0)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IFERROR(__xludf.DUMMYFUNCTION("IMPORTRANGE(""https://docs.google.com/spreadsheets/d/1XL5vhW3sbDhbH9Cz0tuDiY8C3ctxq1tqvaCgkFb8cCA/edit?usp=sharing"",""หนองบัวลำภู!M275"")"),189430.7)</f>
        <v>189430.7</v>
      </c>
      <c r="O380" s="373">
        <f ca="1">+IF(L380&gt;0,N380*100/L380,0)</f>
        <v>18.417794500836152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IFERROR(__xludf.DUMMYFUNCTION("IMPORTRANGE(""https://docs.google.com/spreadsheets/d/1XL5vhW3sbDhbH9Cz0tuDiY8C3ctxq1tqvaCgkFb8cCA/edit?usp=sharing"",""หนองบัวลำภู!J276"")"),68)</f>
        <v>68</v>
      </c>
      <c r="K381" s="372">
        <f t="shared" ca="1" si="108"/>
        <v>68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IFERROR(__xludf.DUMMYFUNCTION("IMPORTRANGE(""https://docs.google.com/spreadsheets/d/1XL5vhW3sbDhbH9Cz0tuDiY8C3ctxq1tqvaCgkFb8cCA/edit?usp=sharing"",""หนองบัวลำภู!L277"")"),0)</f>
        <v>0</v>
      </c>
      <c r="M382" s="166"/>
      <c r="N382" s="166">
        <f ca="1">IFERROR(__xludf.DUMMYFUNCTION("IMPORTRANGE(""https://docs.google.com/spreadsheets/d/1XL5vhW3sbDhbH9Cz0tuDiY8C3ctxq1tqvaCgkFb8cCA/edit?usp=sharing"",""หนองบัวลำภู!M277"")"),0)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IFERROR(__xludf.DUMMYFUNCTION("IMPORTRANGE(""https://docs.google.com/spreadsheets/d/1XL5vhW3sbDhbH9Cz0tuDiY8C3ctxq1tqvaCgkFb8cCA/edit?usp=sharing"",""หนองบัวลำภู!M278"")"),189430.7)</f>
        <v>189430.7</v>
      </c>
      <c r="O383" s="167">
        <f t="shared" ca="1" si="109"/>
        <v>18.417794500836152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IFERROR(__xludf.DUMMYFUNCTION("IMPORTRANGE(""https://docs.google.com/spreadsheets/d/1XL5vhW3sbDhbH9Cz0tuDiY8C3ctxq1tqvaCgkFb8cCA/edit?usp=sharing"",""หนองบัวลำภู!L279"")"),0)</f>
        <v>0</v>
      </c>
      <c r="M384" s="170"/>
      <c r="N384" s="170">
        <f ca="1">IFERROR(__xludf.DUMMYFUNCTION("IMPORTRANGE(""https://docs.google.com/spreadsheets/d/1XL5vhW3sbDhbH9Cz0tuDiY8C3ctxq1tqvaCgkFb8cCA/edit?usp=sharing"",""หนองบัวลำภู!M279"")"),0)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IFERROR(__xludf.DUMMYFUNCTION("IMPORTRANGE(""https://docs.google.com/spreadsheets/d/1XL5vhW3sbDhbH9Cz0tuDiY8C3ctxq1tqvaCgkFb8cCA/edit?usp=sharing"",""หนองบัวลำภู!M280"")"),189430.7)</f>
        <v>189430.7</v>
      </c>
      <c r="O385" s="170">
        <f t="shared" ca="1" si="109"/>
        <v>18.417794500836152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IFERROR(__xludf.DUMMYFUNCTION("IMPORTRANGE(""https://docs.google.com/spreadsheets/d/1XL5vhW3sbDhbH9Cz0tuDiY8C3ctxq1tqvaCgkFb8cCA/edit?usp=sharing"",""หนองบัวลำภู!M281"")"),135254)</f>
        <v>135254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IFERROR(__xludf.DUMMYFUNCTION("IMPORTRANGE(""https://docs.google.com/spreadsheets/d/1XL5vhW3sbDhbH9Cz0tuDiY8C3ctxq1tqvaCgkFb8cCA/edit?usp=sharing"",""หนองบัวลำภู!M283"")"),47666.7)</f>
        <v>47666.7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IFERROR(__xludf.DUMMYFUNCTION("IMPORTRANGE(""https://docs.google.com/spreadsheets/d/1XL5vhW3sbDhbH9Cz0tuDiY8C3ctxq1tqvaCgkFb8cCA/edit?usp=sharing"",""หนองบัวลำภู!M284"")"),6510)</f>
        <v>6510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IFERROR(__xludf.DUMMYFUNCTION("IMPORTRANGE(""https://docs.google.com/spreadsheets/d/1XL5vhW3sbDhbH9Cz0tuDiY8C3ctxq1tqvaCgkFb8cCA/edit?usp=sharing"",""หนองบัวลำภู!J286"")"),0)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IFERROR(__xludf.DUMMYFUNCTION("IMPORTRANGE(""https://docs.google.com/spreadsheets/d/1XL5vhW3sbDhbH9Cz0tuDiY8C3ctxq1tqvaCgkFb8cCA/edit?usp=sharing"",""หนองบัวลำภู!J287"")"),1)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IFERROR(__xludf.DUMMYFUNCTION("IMPORTRANGE(""https://docs.google.com/spreadsheets/d/1XL5vhW3sbDhbH9Cz0tuDiY8C3ctxq1tqvaCgkFb8cCA/edit?usp=sharing"",""หนองบัวลำภู!J288"")"),1)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IFERROR(__xludf.DUMMYFUNCTION("IMPORTRANGE(""https://docs.google.com/spreadsheets/d/1XL5vhW3sbDhbH9Cz0tuDiY8C3ctxq1tqvaCgkFb8cCA/edit?usp=sharing"",""หนองบัวลำภู!J289"")"),1)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IFERROR(__xludf.DUMMYFUNCTION("IMPORTRANGE(""https://docs.google.com/spreadsheets/d/1XL5vhW3sbDhbH9Cz0tuDiY8C3ctxq1tqvaCgkFb8cCA/edit?usp=sharing"",""หนองบัวลำภู!I291"")"),100)</f>
        <v>100</v>
      </c>
      <c r="J396" s="199">
        <f ca="1">IFERROR(__xludf.DUMMYFUNCTION("IMPORTRANGE(""https://docs.google.com/spreadsheets/d/1XL5vhW3sbDhbH9Cz0tuDiY8C3ctxq1tqvaCgkFb8cCA/edit?usp=sharing"",""หนองบัวลำภู!J291"")"),68)</f>
        <v>68</v>
      </c>
      <c r="K396" s="165">
        <f t="shared" ref="K396:K398" ca="1" si="110">IF(I396&gt;0,J396*100/I396,0)</f>
        <v>68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IFERROR(__xludf.DUMMYFUNCTION("IMPORTRANGE(""https://docs.google.com/spreadsheets/d/1XL5vhW3sbDhbH9Cz0tuDiY8C3ctxq1tqvaCgkFb8cCA/edit?usp=sharing"",""หนองบัวลำภู!I292"")"),1000)</f>
        <v>1000</v>
      </c>
      <c r="J397" s="199">
        <f ca="1">IFERROR(__xludf.DUMMYFUNCTION("IMPORTRANGE(""https://docs.google.com/spreadsheets/d/1XL5vhW3sbDhbH9Cz0tuDiY8C3ctxq1tqvaCgkFb8cCA/edit?usp=sharing"",""หนองบัวลำภู!J292"")"),0)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IFERROR(__xludf.DUMMYFUNCTION("IMPORTRANGE(""https://docs.google.com/spreadsheets/d/1XL5vhW3sbDhbH9Cz0tuDiY8C3ctxq1tqvaCgkFb8cCA/edit?usp=sharing"",""หนองบัวลำภู!I293"")"),100)</f>
        <v>100</v>
      </c>
      <c r="J398" s="199">
        <f ca="1">IFERROR(__xludf.DUMMYFUNCTION("IMPORTRANGE(""https://docs.google.com/spreadsheets/d/1XL5vhW3sbDhbH9Cz0tuDiY8C3ctxq1tqvaCgkFb8cCA/edit?usp=sharing"",""หนองบัวลำภู!J293"")"),0)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IFERROR(__xludf.DUMMYFUNCTION("IMPORTRANGE(""https://docs.google.com/spreadsheets/d/1XL5vhW3sbDhbH9Cz0tuDiY8C3ctxq1tqvaCgkFb8cCA/edit?usp=sharing"",""หนองบัวลำภู!J294"")"),0)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IFERROR(__xludf.DUMMYFUNCTION("IMPORTRANGE(""https://docs.google.com/spreadsheets/d/1XL5vhW3sbDhbH9Cz0tuDiY8C3ctxq1tqvaCgkFb8cCA/edit?usp=sharing"",""หนองบัวลำภู!M296"")"),82020)</f>
        <v>82020</v>
      </c>
      <c r="O401" s="373">
        <f ca="1">+IF(L401&gt;0,N401*100/L401,0)</f>
        <v>51.278524538918411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IFERROR(__xludf.DUMMYFUNCTION("IMPORTRANGE(""https://docs.google.com/spreadsheets/d/1XL5vhW3sbDhbH9Cz0tuDiY8C3ctxq1tqvaCgkFb8cCA/edit?usp=sharing"",""หนองบัวลำภู!L298"")"),0)</f>
        <v>0</v>
      </c>
      <c r="M403" s="166"/>
      <c r="N403" s="170">
        <f ca="1">IFERROR(__xludf.DUMMYFUNCTION("IMPORTRANGE(""https://docs.google.com/spreadsheets/d/1XL5vhW3sbDhbH9Cz0tuDiY8C3ctxq1tqvaCgkFb8cCA/edit?usp=sharing"",""หนองบัวลำภู!M298"")"),0)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7"/>
      <c r="N404" s="170">
        <f ca="1">IFERROR(__xludf.DUMMYFUNCTION("IMPORTRANGE(""https://docs.google.com/spreadsheets/d/1XL5vhW3sbDhbH9Cz0tuDiY8C3ctxq1tqvaCgkFb8cCA/edit?usp=sharing"",""หนองบัวลำภู!M299"")"),82020)</f>
        <v>82020</v>
      </c>
      <c r="O404" s="170">
        <f t="shared" ca="1" si="112"/>
        <v>51.278524538918411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IFERROR(__xludf.DUMMYFUNCTION("IMPORTRANGE(""https://docs.google.com/spreadsheets/d/1XL5vhW3sbDhbH9Cz0tuDiY8C3ctxq1tqvaCgkFb8cCA/edit?usp=sharing"",""หนองบัวลำภู!L300"")"),0)</f>
        <v>0</v>
      </c>
      <c r="M405" s="170"/>
      <c r="N405" s="170">
        <f ca="1">IFERROR(__xludf.DUMMYFUNCTION("IMPORTRANGE(""https://docs.google.com/spreadsheets/d/1XL5vhW3sbDhbH9Cz0tuDiY8C3ctxq1tqvaCgkFb8cCA/edit?usp=sharing"",""หนองบัวลำภู!M300"")"),0)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70"/>
      <c r="N406" s="170">
        <f ca="1">IFERROR(__xludf.DUMMYFUNCTION("IMPORTRANGE(""https://docs.google.com/spreadsheets/d/1XL5vhW3sbDhbH9Cz0tuDiY8C3ctxq1tqvaCgkFb8cCA/edit?usp=sharing"",""หนองบัวลำภู!M301"")"),82020)</f>
        <v>82020</v>
      </c>
      <c r="O406" s="170">
        <f t="shared" ca="1" si="112"/>
        <v>51.278524538918411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IFERROR(__xludf.DUMMYFUNCTION("IMPORTRANGE(""https://docs.google.com/spreadsheets/d/1XL5vhW3sbDhbH9Cz0tuDiY8C3ctxq1tqvaCgkFb8cCA/edit?usp=sharing"",""หนองบัวลำภู!M302"")"),79040)</f>
        <v>79040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IFERROR(__xludf.DUMMYFUNCTION("IMPORTRANGE(""https://docs.google.com/spreadsheets/d/1XL5vhW3sbDhbH9Cz0tuDiY8C3ctxq1tqvaCgkFb8cCA/edit?usp=sharing"",""หนองบัวลำภู!M303"")"),0)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IFERROR(__xludf.DUMMYFUNCTION("IMPORTRANGE(""https://docs.google.com/spreadsheets/d/1XL5vhW3sbDhbH9Cz0tuDiY8C3ctxq1tqvaCgkFb8cCA/edit?usp=sharing"",""หนองบัวลำภู!M305"")"),2980)</f>
        <v>2980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IFERROR(__xludf.DUMMYFUNCTION("IMPORTRANGE(""https://docs.google.com/spreadsheets/d/1XL5vhW3sbDhbH9Cz0tuDiY8C3ctxq1tqvaCgkFb8cCA/edit?usp=sharing"",""หนองบัวลำภู!J307"")"),0)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IFERROR(__xludf.DUMMYFUNCTION("IMPORTRANGE(""https://docs.google.com/spreadsheets/d/1XL5vhW3sbDhbH9Cz0tuDiY8C3ctxq1tqvaCgkFb8cCA/edit?usp=sharing"",""หนองบัวลำภู!J308"")"),1)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IFERROR(__xludf.DUMMYFUNCTION("IMPORTRANGE(""https://docs.google.com/spreadsheets/d/1XL5vhW3sbDhbH9Cz0tuDiY8C3ctxq1tqvaCgkFb8cCA/edit?usp=sharing"",""หนองบัวลำภู!J309"")"),1)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IFERROR(__xludf.DUMMYFUNCTION("IMPORTRANGE(""https://docs.google.com/spreadsheets/d/1XL5vhW3sbDhbH9Cz0tuDiY8C3ctxq1tqvaCgkFb8cCA/edit?usp=sharing"",""หนองบัวลำภู!J310"")"),1)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IFERROR(__xludf.DUMMYFUNCTION("IMPORTRANGE(""https://docs.google.com/spreadsheets/d/1XL5vhW3sbDhbH9Cz0tuDiY8C3ctxq1tqvaCgkFb8cCA/edit?usp=sharing"",""หนองบัวลำภู!I311"")"),45)</f>
        <v>45</v>
      </c>
      <c r="J416" s="202">
        <f ca="1">IFERROR(__xludf.DUMMYFUNCTION("IMPORTRANGE(""https://docs.google.com/spreadsheets/d/1XL5vhW3sbDhbH9Cz0tuDiY8C3ctxq1tqvaCgkFb8cCA/edit?usp=sharing"",""หนองบัวลำภู!J311"")"),45)</f>
        <v>45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IFERROR(__xludf.DUMMYFUNCTION("IMPORTRANGE(""https://docs.google.com/spreadsheets/d/1XL5vhW3sbDhbH9Cz0tuDiY8C3ctxq1tqvaCgkFb8cCA/edit?usp=sharing"",""หนองบัวลำภู!J328"")"),0)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IFERROR(__xludf.DUMMYFUNCTION("IMPORTRANGE(""https://docs.google.com/spreadsheets/d/1XL5vhW3sbDhbH9Cz0tuDiY8C3ctxq1tqvaCgkFb8cCA/edit?usp=sharing"",""หนองบัวลำภู!J329"")"),0)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IFERROR(__xludf.DUMMYFUNCTION("IMPORTRANGE(""https://docs.google.com/spreadsheets/d/1XL5vhW3sbDhbH9Cz0tuDiY8C3ctxq1tqvaCgkFb8cCA/edit?usp=sharing"",""หนองบัวลำภู!M330"")"),71074)</f>
        <v>71074</v>
      </c>
      <c r="O435" s="412">
        <f t="shared" ref="O435:O439" ca="1" si="114">+IF(L435&gt;0,N435*100/L435,0)</f>
        <v>80.765909090909091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IFERROR(__xludf.DUMMYFUNCTION("IMPORTRANGE(""https://docs.google.com/spreadsheets/d/1XL5vhW3sbDhbH9Cz0tuDiY8C3ctxq1tqvaCgkFb8cCA/edit?usp=sharing"",""หนองบัวลำภู!L331"")"),0)</f>
        <v>0</v>
      </c>
      <c r="M436" s="166"/>
      <c r="N436" s="170">
        <f ca="1">IFERROR(__xludf.DUMMYFUNCTION("IMPORTRANGE(""https://docs.google.com/spreadsheets/d/1XL5vhW3sbDhbH9Cz0tuDiY8C3ctxq1tqvaCgkFb8cCA/edit?usp=sharing"",""หนองบัวลำภู!M331"")"),0)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7"/>
      <c r="N437" s="170">
        <f ca="1">IFERROR(__xludf.DUMMYFUNCTION("IMPORTRANGE(""https://docs.google.com/spreadsheets/d/1XL5vhW3sbDhbH9Cz0tuDiY8C3ctxq1tqvaCgkFb8cCA/edit?usp=sharing"",""หนองบัวลำภู!M332"")"),71074)</f>
        <v>71074</v>
      </c>
      <c r="O437" s="170">
        <f t="shared" ca="1" si="114"/>
        <v>80.765909090909091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IFERROR(__xludf.DUMMYFUNCTION("IMPORTRANGE(""https://docs.google.com/spreadsheets/d/1XL5vhW3sbDhbH9Cz0tuDiY8C3ctxq1tqvaCgkFb8cCA/edit?usp=sharing"",""หนองบัวลำภู!L333"")"),0)</f>
        <v>0</v>
      </c>
      <c r="M438" s="170"/>
      <c r="N438" s="170">
        <f ca="1">IFERROR(__xludf.DUMMYFUNCTION("IMPORTRANGE(""https://docs.google.com/spreadsheets/d/1XL5vhW3sbDhbH9Cz0tuDiY8C3ctxq1tqvaCgkFb8cCA/edit?usp=sharing"",""หนองบัวลำภู!M333"")"),0)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70"/>
      <c r="N439" s="170">
        <f ca="1">IFERROR(__xludf.DUMMYFUNCTION("IMPORTRANGE(""https://docs.google.com/spreadsheets/d/1XL5vhW3sbDhbH9Cz0tuDiY8C3ctxq1tqvaCgkFb8cCA/edit?usp=sharing"",""หนองบัวลำภู!M334"")"),71074)</f>
        <v>71074</v>
      </c>
      <c r="O439" s="170">
        <f t="shared" ca="1" si="114"/>
        <v>80.765909090909091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IFERROR(__xludf.DUMMYFUNCTION("IMPORTRANGE(""https://docs.google.com/spreadsheets/d/1XL5vhW3sbDhbH9Cz0tuDiY8C3ctxq1tqvaCgkFb8cCA/edit?usp=sharing"",""หนองบัวลำภู!M335"")"),60919)</f>
        <v>60919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IFERROR(__xludf.DUMMYFUNCTION("IMPORTRANGE(""https://docs.google.com/spreadsheets/d/1XL5vhW3sbDhbH9Cz0tuDiY8C3ctxq1tqvaCgkFb8cCA/edit?usp=sharing"",""หนองบัวลำภู!J342"")"),1)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IFERROR(__xludf.DUMMYFUNCTION("IMPORTRANGE(""https://docs.google.com/spreadsheets/d/1XL5vhW3sbDhbH9Cz0tuDiY8C3ctxq1tqvaCgkFb8cCA/edit?usp=sharing"",""หนองบัวลำภู!J343"")"),1)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2">
        <f ca="1">IFERROR(__xludf.DUMMYFUNCTION("IMPORTRANGE(""https://docs.google.com/spreadsheets/d/1XL5vhW3sbDhbH9Cz0tuDiY8C3ctxq1tqvaCgkFb8cCA/edit?usp=sharing"",""หนองบัวลำภู!J344"")"),15)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IFERROR(__xludf.DUMMYFUNCTION("IMPORTRANGE(""https://docs.google.com/spreadsheets/d/1XL5vhW3sbDhbH9Cz0tuDiY8C3ctxq1tqvaCgkFb8cCA/edit?usp=sharing"",""หนองบัวลำภู!I345"")"),15)</f>
        <v>15</v>
      </c>
      <c r="J450" s="190">
        <f ca="1">IFERROR(__xludf.DUMMYFUNCTION("IMPORTRANGE(""https://docs.google.com/spreadsheets/d/1XL5vhW3sbDhbH9Cz0tuDiY8C3ctxq1tqvaCgkFb8cCA/edit?usp=sharing"",""หนองบัวลำภู!J345"")"),15)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IFERROR(__xludf.DUMMYFUNCTION("IMPORTRANGE(""https://docs.google.com/spreadsheets/d/1XL5vhW3sbDhbH9Cz0tuDiY8C3ctxq1tqvaCgkFb8cCA/edit?usp=sharing"",""หนองบัวลำภู!I346"")"),0)</f>
        <v>0</v>
      </c>
      <c r="J451" s="189">
        <f ca="1">IFERROR(__xludf.DUMMYFUNCTION("IMPORTRANGE(""https://docs.google.com/spreadsheets/d/1XL5vhW3sbDhbH9Cz0tuDiY8C3ctxq1tqvaCgkFb8cCA/edit?usp=sharing"",""หนองบัวลำภู!J346"")"),0)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IFERROR(__xludf.DUMMYFUNCTION("IMPORTRANGE(""https://docs.google.com/spreadsheets/d/1XL5vhW3sbDhbH9Cz0tuDiY8C3ctxq1tqvaCgkFb8cCA/edit?usp=sharing"",""หนองบัวลำภู!I347"")"),0)</f>
        <v>0</v>
      </c>
      <c r="J452" s="189">
        <f ca="1">IFERROR(__xludf.DUMMYFUNCTION("IMPORTRANGE(""https://docs.google.com/spreadsheets/d/1XL5vhW3sbDhbH9Cz0tuDiY8C3ctxq1tqvaCgkFb8cCA/edit?usp=sharing"",""หนองบัวลำภู!J347"")"),0)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IFERROR(__xludf.DUMMYFUNCTION("IMPORTRANGE(""https://docs.google.com/spreadsheets/d/1XL5vhW3sbDhbH9Cz0tuDiY8C3ctxq1tqvaCgkFb8cCA/edit?usp=sharing"",""หนองบัวลำภู!J348"")"),0)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IFERROR(__xludf.DUMMYFUNCTION("IMPORTRANGE(""https://docs.google.com/spreadsheets/d/1XL5vhW3sbDhbH9Cz0tuDiY8C3ctxq1tqvaCgkFb8cCA/edit?usp=sharing"",""หนองบัวลำภู!J349"")"),0)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IFERROR(__xludf.DUMMYFUNCTION("IMPORTRANGE(""https://docs.google.com/spreadsheets/d/1XL5vhW3sbDhbH9Cz0tuDiY8C3ctxq1tqvaCgkFb8cCA/edit?usp=sharing"",""หนองบัวลำภู!L350"")"),733096)</f>
        <v>733096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IFERROR(__xludf.DUMMYFUNCTION("IMPORTRANGE(""https://docs.google.com/spreadsheets/d/1XL5vhW3sbDhbH9Cz0tuDiY8C3ctxq1tqvaCgkFb8cCA/edit?usp=sharing"",""หนองบัวลำภู!M350"")"),161611.06)</f>
        <v>161611.06</v>
      </c>
      <c r="O455" s="373">
        <f t="shared" ref="O455:O459" ca="1" si="116">+IF(L455&gt;0,N455*100/L455,0)</f>
        <v>22.045006383884239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IFERROR(__xludf.DUMMYFUNCTION("IMPORTRANGE(""https://docs.google.com/spreadsheets/d/1XL5vhW3sbDhbH9Cz0tuDiY8C3ctxq1tqvaCgkFb8cCA/edit?usp=sharing"",""หนองบัวลำภู!L351"")"),0)</f>
        <v>0</v>
      </c>
      <c r="M456" s="166"/>
      <c r="N456" s="170">
        <f ca="1">IFERROR(__xludf.DUMMYFUNCTION("IMPORTRANGE(""https://docs.google.com/spreadsheets/d/1XL5vhW3sbDhbH9Cz0tuDiY8C3ctxq1tqvaCgkFb8cCA/edit?usp=sharing"",""หนองบัวลำภู!M351"")"),0)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IFERROR(__xludf.DUMMYFUNCTION("IMPORTRANGE(""https://docs.google.com/spreadsheets/d/1XL5vhW3sbDhbH9Cz0tuDiY8C3ctxq1tqvaCgkFb8cCA/edit?usp=sharing"",""หนองบัวลำภู!L352"")"),733096)</f>
        <v>733096</v>
      </c>
      <c r="M457" s="167"/>
      <c r="N457" s="170">
        <f ca="1">IFERROR(__xludf.DUMMYFUNCTION("IMPORTRANGE(""https://docs.google.com/spreadsheets/d/1XL5vhW3sbDhbH9Cz0tuDiY8C3ctxq1tqvaCgkFb8cCA/edit?usp=sharing"",""หนองบัวลำภู!M352"")"),161611.06)</f>
        <v>161611.06</v>
      </c>
      <c r="O457" s="170">
        <f t="shared" ca="1" si="116"/>
        <v>22.045006383884239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IFERROR(__xludf.DUMMYFUNCTION("IMPORTRANGE(""https://docs.google.com/spreadsheets/d/1XL5vhW3sbDhbH9Cz0tuDiY8C3ctxq1tqvaCgkFb8cCA/edit?usp=sharing"",""หนองบัวลำภู!L353"")"),0)</f>
        <v>0</v>
      </c>
      <c r="M458" s="170"/>
      <c r="N458" s="170">
        <f ca="1">IFERROR(__xludf.DUMMYFUNCTION("IMPORTRANGE(""https://docs.google.com/spreadsheets/d/1XL5vhW3sbDhbH9Cz0tuDiY8C3ctxq1tqvaCgkFb8cCA/edit?usp=sharing"",""หนองบัวลำภู!M353"")"),0)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IFERROR(__xludf.DUMMYFUNCTION("IMPORTRANGE(""https://docs.google.com/spreadsheets/d/1XL5vhW3sbDhbH9Cz0tuDiY8C3ctxq1tqvaCgkFb8cCA/edit?usp=sharing"",""หนองบัวลำภู!L354"")"),733096)</f>
        <v>733096</v>
      </c>
      <c r="M459" s="170"/>
      <c r="N459" s="170">
        <f ca="1">IFERROR(__xludf.DUMMYFUNCTION("IMPORTRANGE(""https://docs.google.com/spreadsheets/d/1XL5vhW3sbDhbH9Cz0tuDiY8C3ctxq1tqvaCgkFb8cCA/edit?usp=sharing"",""หนองบัวลำภู!M354"")"),161611.06)</f>
        <v>161611.06</v>
      </c>
      <c r="O459" s="170">
        <f t="shared" ca="1" si="116"/>
        <v>22.045006383884239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IFERROR(__xludf.DUMMYFUNCTION("IMPORTRANGE(""https://docs.google.com/spreadsheets/d/1XL5vhW3sbDhbH9Cz0tuDiY8C3ctxq1tqvaCgkFb8cCA/edit?usp=sharing"",""หนองบัวลำภู!M355"")"),0)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IFERROR(__xludf.DUMMYFUNCTION("IMPORTRANGE(""https://docs.google.com/spreadsheets/d/1XL5vhW3sbDhbH9Cz0tuDiY8C3ctxq1tqvaCgkFb8cCA/edit?usp=sharing"",""หนองบัวลำภู!M356"")"),0)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IFERROR(__xludf.DUMMYFUNCTION("IMPORTRANGE(""https://docs.google.com/spreadsheets/d/1XL5vhW3sbDhbH9Cz0tuDiY8C3ctxq1tqvaCgkFb8cCA/edit?usp=sharing"",""หนองบัวลำภู!M357"")"),50600.06)</f>
        <v>50600.06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IFERROR(__xludf.DUMMYFUNCTION("IMPORTRANGE(""https://docs.google.com/spreadsheets/d/1XL5vhW3sbDhbH9Cz0tuDiY8C3ctxq1tqvaCgkFb8cCA/edit?usp=sharing"",""หนองบัวลำภู!M358"")"),111011)</f>
        <v>111011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3">
        <f t="shared" ca="1" si="117"/>
        <v>100.00466352655879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IFERROR(__xludf.DUMMYFUNCTION("IMPORTRANGE(""https://docs.google.com/spreadsheets/d/1XL5vhW3sbDhbH9Cz0tuDiY8C3ctxq1tqvaCgkFb8cCA/edit?usp=sharing"",""หนองบัวลำภู!I362"")"),0)</f>
        <v>0</v>
      </c>
      <c r="J467" s="190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IFERROR(__xludf.DUMMYFUNCTION("IMPORTRANGE(""https://docs.google.com/spreadsheets/d/1XL5vhW3sbDhbH9Cz0tuDiY8C3ctxq1tqvaCgkFb8cCA/edit?usp=sharing"",""หนองบัวลำภู!I363"")"),0)</f>
        <v>0</v>
      </c>
      <c r="J468" s="190">
        <f ca="1">IFERROR(__xludf.DUMMYFUNCTION("IMPORTRANGE(""https://docs.google.com/spreadsheets/d/1XL5vhW3sbDhbH9Cz0tuDiY8C3ctxq1tqvaCgkFb8cCA/edit?usp=sharing"",""หนองบัวลำภู!J363"")"),3483)</f>
        <v>3483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IFERROR(__xludf.DUMMYFUNCTION("IMPORTRANGE(""https://docs.google.com/spreadsheets/d/1XL5vhW3sbDhbH9Cz0tuDiY8C3ctxq1tqvaCgkFb8cCA/edit?usp=sharing"",""หนองบัวลำภู!I364"")"),0)</f>
        <v>0</v>
      </c>
      <c r="J469" s="190">
        <f ca="1">IFERROR(__xludf.DUMMYFUNCTION("IMPORTRANGE(""https://docs.google.com/spreadsheets/d/1XL5vhW3sbDhbH9Cz0tuDiY8C3ctxq1tqvaCgkFb8cCA/edit?usp=sharing"",""หนองบัวลำภู!J364"")"),5328)</f>
        <v>5328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IFERROR(__xludf.DUMMYFUNCTION("IMPORTRANGE(""https://docs.google.com/spreadsheets/d/1XL5vhW3sbDhbH9Cz0tuDiY8C3ctxq1tqvaCgkFb8cCA/edit?usp=sharing"",""หนองบัวลำภู!I365"")"),0)</f>
        <v>0</v>
      </c>
      <c r="J470" s="190">
        <f ca="1">IFERROR(__xludf.DUMMYFUNCTION("IMPORTRANGE(""https://docs.google.com/spreadsheets/d/1XL5vhW3sbDhbH9Cz0tuDiY8C3ctxq1tqvaCgkFb8cCA/edit?usp=sharing"",""หนองบัวลำภู!J365"")"),631)</f>
        <v>631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IFERROR(__xludf.DUMMYFUNCTION("IMPORTRANGE(""https://docs.google.com/spreadsheets/d/1XL5vhW3sbDhbH9Cz0tuDiY8C3ctxq1tqvaCgkFb8cCA/edit?usp=sharing"",""หนองบัวลำภู!I366"")"),0)</f>
        <v>0</v>
      </c>
      <c r="J471" s="190">
        <f ca="1">IFERROR(__xludf.DUMMYFUNCTION("IMPORTRANGE(""https://docs.google.com/spreadsheets/d/1XL5vhW3sbDhbH9Cz0tuDiY8C3ctxq1tqvaCgkFb8cCA/edit?usp=sharing"",""หนองบัวลำภู!J366"")"),1547)</f>
        <v>1547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IFERROR(__xludf.DUMMYFUNCTION("IMPORTRANGE(""https://docs.google.com/spreadsheets/d/1XL5vhW3sbDhbH9Cz0tuDiY8C3ctxq1tqvaCgkFb8cCA/edit?usp=sharing"",""หนองบัวลำภู!I367"")"),0)</f>
        <v>0</v>
      </c>
      <c r="J472" s="190">
        <f ca="1">IFERROR(__xludf.DUMMYFUNCTION("IMPORTRANGE(""https://docs.google.com/spreadsheets/d/1XL5vhW3sbDhbH9Cz0tuDiY8C3ctxq1tqvaCgkFb8cCA/edit?usp=sharing"",""หนองบัวลำภู!J367"")"),110)</f>
        <v>110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3">
        <f t="shared" ca="1" si="117"/>
        <v>100.00466352655879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IFERROR(__xludf.DUMMYFUNCTION("IMPORTRANGE(""https://docs.google.com/spreadsheets/d/1XL5vhW3sbDhbH9Cz0tuDiY8C3ctxq1tqvaCgkFb8cCA/edit?usp=sharing"",""หนองบัวลำภู!I370"")"),0)</f>
        <v>0</v>
      </c>
      <c r="J475" s="190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IFERROR(__xludf.DUMMYFUNCTION("IMPORTRANGE(""https://docs.google.com/spreadsheets/d/1XL5vhW3sbDhbH9Cz0tuDiY8C3ctxq1tqvaCgkFb8cCA/edit?usp=sharing"",""หนองบัวลำภู!I371"")"),0)</f>
        <v>0</v>
      </c>
      <c r="J476" s="190">
        <f ca="1">IFERROR(__xludf.DUMMYFUNCTION("IMPORTRANGE(""https://docs.google.com/spreadsheets/d/1XL5vhW3sbDhbH9Cz0tuDiY8C3ctxq1tqvaCgkFb8cCA/edit?usp=sharing"",""หนองบัวลำภู!J371"")"),3484)</f>
        <v>3484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IFERROR(__xludf.DUMMYFUNCTION("IMPORTRANGE(""https://docs.google.com/spreadsheets/d/1XL5vhW3sbDhbH9Cz0tuDiY8C3ctxq1tqvaCgkFb8cCA/edit?usp=sharing"",""หนองบัวลำภู!I372"")"),0)</f>
        <v>0</v>
      </c>
      <c r="J477" s="190">
        <f ca="1">IFERROR(__xludf.DUMMYFUNCTION("IMPORTRANGE(""https://docs.google.com/spreadsheets/d/1XL5vhW3sbDhbH9Cz0tuDiY8C3ctxq1tqvaCgkFb8cCA/edit?usp=sharing"",""หนองบัวลำภู!J372"")"),5328)</f>
        <v>5328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IFERROR(__xludf.DUMMYFUNCTION("IMPORTRANGE(""https://docs.google.com/spreadsheets/d/1XL5vhW3sbDhbH9Cz0tuDiY8C3ctxq1tqvaCgkFb8cCA/edit?usp=sharing"",""หนองบัวลำภู!I373"")"),0)</f>
        <v>0</v>
      </c>
      <c r="J478" s="190">
        <f ca="1">IFERROR(__xludf.DUMMYFUNCTION("IMPORTRANGE(""https://docs.google.com/spreadsheets/d/1XL5vhW3sbDhbH9Cz0tuDiY8C3ctxq1tqvaCgkFb8cCA/edit?usp=sharing"",""หนองบัวลำภู!J373"")"),631)</f>
        <v>631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IFERROR(__xludf.DUMMYFUNCTION("IMPORTRANGE(""https://docs.google.com/spreadsheets/d/1XL5vhW3sbDhbH9Cz0tuDiY8C3ctxq1tqvaCgkFb8cCA/edit?usp=sharing"",""หนองบัวลำภู!I374"")"),0)</f>
        <v>0</v>
      </c>
      <c r="J479" s="190">
        <f ca="1">IFERROR(__xludf.DUMMYFUNCTION("IMPORTRANGE(""https://docs.google.com/spreadsheets/d/1XL5vhW3sbDhbH9Cz0tuDiY8C3ctxq1tqvaCgkFb8cCA/edit?usp=sharing"",""หนองบัวลำภู!J374"")"),1546)</f>
        <v>1546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IFERROR(__xludf.DUMMYFUNCTION("IMPORTRANGE(""https://docs.google.com/spreadsheets/d/1XL5vhW3sbDhbH9Cz0tuDiY8C3ctxq1tqvaCgkFb8cCA/edit?usp=sharing"",""หนองบัวลำภู!I375"")"),0)</f>
        <v>0</v>
      </c>
      <c r="J480" s="190">
        <f ca="1">IFERROR(__xludf.DUMMYFUNCTION("IMPORTRANGE(""https://docs.google.com/spreadsheets/d/1XL5vhW3sbDhbH9Cz0tuDiY8C3ctxq1tqvaCgkFb8cCA/edit?usp=sharing"",""หนองบัวลำภู!J375"")"),109)</f>
        <v>109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IFERROR(__xludf.DUMMYFUNCTION("IMPORTRANGE(""https://docs.google.com/spreadsheets/d/1XL5vhW3sbDhbH9Cz0tuDiY8C3ctxq1tqvaCgkFb8cCA/edit?usp=sharing"",""หนองบัวลำภู!I378"")"),0)</f>
        <v>0</v>
      </c>
      <c r="J483" s="190">
        <f ca="1">IFERROR(__xludf.DUMMYFUNCTION("IMPORTRANGE(""https://docs.google.com/spreadsheets/d/1XL5vhW3sbDhbH9Cz0tuDiY8C3ctxq1tqvaCgkFb8cCA/edit?usp=sharing"",""หนองบัวลำภู!J378"")"),0)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IFERROR(__xludf.DUMMYFUNCTION("IMPORTRANGE(""https://docs.google.com/spreadsheets/d/1XL5vhW3sbDhbH9Cz0tuDiY8C3ctxq1tqvaCgkFb8cCA/edit?usp=sharing"",""หนองบัวลำภู!I379"")"),0)</f>
        <v>0</v>
      </c>
      <c r="J484" s="190">
        <f ca="1">IFERROR(__xludf.DUMMYFUNCTION("IMPORTRANGE(""https://docs.google.com/spreadsheets/d/1XL5vhW3sbDhbH9Cz0tuDiY8C3ctxq1tqvaCgkFb8cCA/edit?usp=sharing"",""หนองบัวลำภู!J379"")"),0)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IFERROR(__xludf.DUMMYFUNCTION("IMPORTRANGE(""https://docs.google.com/spreadsheets/d/1XL5vhW3sbDhbH9Cz0tuDiY8C3ctxq1tqvaCgkFb8cCA/edit?usp=sharing"",""หนองบัวลำภู!I380"")"),0)</f>
        <v>0</v>
      </c>
      <c r="J485" s="190">
        <f ca="1">IFERROR(__xludf.DUMMYFUNCTION("IMPORTRANGE(""https://docs.google.com/spreadsheets/d/1XL5vhW3sbDhbH9Cz0tuDiY8C3ctxq1tqvaCgkFb8cCA/edit?usp=sharing"",""หนองบัวลำภู!J380"")"),0)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IFERROR(__xludf.DUMMYFUNCTION("IMPORTRANGE(""https://docs.google.com/spreadsheets/d/1XL5vhW3sbDhbH9Cz0tuDiY8C3ctxq1tqvaCgkFb8cCA/edit?usp=sharing"",""หนองบัวลำภู!I381"")"),0)</f>
        <v>0</v>
      </c>
      <c r="J486" s="190">
        <f ca="1">IFERROR(__xludf.DUMMYFUNCTION("IMPORTRANGE(""https://docs.google.com/spreadsheets/d/1XL5vhW3sbDhbH9Cz0tuDiY8C3ctxq1tqvaCgkFb8cCA/edit?usp=sharing"",""หนองบัวลำภู!J381"")"),0)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IFERROR(__xludf.DUMMYFUNCTION("IMPORTRANGE(""https://docs.google.com/spreadsheets/d/1XL5vhW3sbDhbH9Cz0tuDiY8C3ctxq1tqvaCgkFb8cCA/edit?usp=sharing"",""หนองบัวลำภู!I384"")"),0)</f>
        <v>0</v>
      </c>
      <c r="J489" s="190">
        <f ca="1">IFERROR(__xludf.DUMMYFUNCTION("IMPORTRANGE(""https://docs.google.com/spreadsheets/d/1XL5vhW3sbDhbH9Cz0tuDiY8C3ctxq1tqvaCgkFb8cCA/edit?usp=sharing"",""หนองบัวลำภู!J384"")"),0)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IFERROR(__xludf.DUMMYFUNCTION("IMPORTRANGE(""https://docs.google.com/spreadsheets/d/1XL5vhW3sbDhbH9Cz0tuDiY8C3ctxq1tqvaCgkFb8cCA/edit?usp=sharing"",""หนองบัวลำภู!I385"")"),0)</f>
        <v>0</v>
      </c>
      <c r="J490" s="190">
        <f ca="1">IFERROR(__xludf.DUMMYFUNCTION("IMPORTRANGE(""https://docs.google.com/spreadsheets/d/1XL5vhW3sbDhbH9Cz0tuDiY8C3ctxq1tqvaCgkFb8cCA/edit?usp=sharing"",""หนองบัวลำภู!J385"")"),0)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IFERROR(__xludf.DUMMYFUNCTION("IMPORTRANGE(""https://docs.google.com/spreadsheets/d/1XL5vhW3sbDhbH9Cz0tuDiY8C3ctxq1tqvaCgkFb8cCA/edit?usp=sharing"",""หนองบัวลำภู!I386"")"),0)</f>
        <v>0</v>
      </c>
      <c r="J491" s="190">
        <f ca="1">IFERROR(__xludf.DUMMYFUNCTION("IMPORTRANGE(""https://docs.google.com/spreadsheets/d/1XL5vhW3sbDhbH9Cz0tuDiY8C3ctxq1tqvaCgkFb8cCA/edit?usp=sharing"",""หนองบัวลำภู!J386"")"),0)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IFERROR(__xludf.DUMMYFUNCTION("IMPORTRANGE(""https://docs.google.com/spreadsheets/d/1XL5vhW3sbDhbH9Cz0tuDiY8C3ctxq1tqvaCgkFb8cCA/edit?usp=sharing"",""หนองบัวลำภู!I387"")"),0)</f>
        <v>0</v>
      </c>
      <c r="J492" s="190">
        <f ca="1">IFERROR(__xludf.DUMMYFUNCTION("IMPORTRANGE(""https://docs.google.com/spreadsheets/d/1XL5vhW3sbDhbH9Cz0tuDiY8C3ctxq1tqvaCgkFb8cCA/edit?usp=sharing"",""หนองบัวลำภู!J387"")"),0)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IFERROR(__xludf.DUMMYFUNCTION("IMPORTRANGE(""https://docs.google.com/spreadsheets/d/1XL5vhW3sbDhbH9Cz0tuDiY8C3ctxq1tqvaCgkFb8cCA/edit?usp=sharing"",""หนองบัวลำภู!I388"")"),0)</f>
        <v>0</v>
      </c>
      <c r="J493" s="190">
        <f ca="1">IFERROR(__xludf.DUMMYFUNCTION("IMPORTRANGE(""https://docs.google.com/spreadsheets/d/1XL5vhW3sbDhbH9Cz0tuDiY8C3ctxq1tqvaCgkFb8cCA/edit?usp=sharing"",""หนองบัวลำภู!J388"")"),0)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165">
        <f t="shared" ca="1" si="117"/>
        <v>100.00925925925925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IFERROR(__xludf.DUMMYFUNCTION("IMPORTRANGE(""https://docs.google.com/spreadsheets/d/1XL5vhW3sbDhbH9Cz0tuDiY8C3ctxq1tqvaCgkFb8cCA/edit?usp=sharing"",""หนองบัวลำภู!I395"")"),0)</f>
        <v>0</v>
      </c>
      <c r="J500" s="164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IFERROR(__xludf.DUMMYFUNCTION("IMPORTRANGE(""https://docs.google.com/spreadsheets/d/1XL5vhW3sbDhbH9Cz0tuDiY8C3ctxq1tqvaCgkFb8cCA/edit?usp=sharing"",""หนองบัวลำภู!I396"")"),0)</f>
        <v>0</v>
      </c>
      <c r="J501" s="164">
        <f ca="1">IFERROR(__xludf.DUMMYFUNCTION("IMPORTRANGE(""https://docs.google.com/spreadsheets/d/1XL5vhW3sbDhbH9Cz0tuDiY8C3ctxq1tqvaCgkFb8cCA/edit?usp=sharing"",""หนองบัวลำภู!J396"")"),850)</f>
        <v>850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IFERROR(__xludf.DUMMYFUNCTION("IMPORTRANGE(""https://docs.google.com/spreadsheets/d/1XL5vhW3sbDhbH9Cz0tuDiY8C3ctxq1tqvaCgkFb8cCA/edit?usp=sharing"",""หนองบัวลำภู!I397"")"),0)</f>
        <v>0</v>
      </c>
      <c r="J502" s="190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IFERROR(__xludf.DUMMYFUNCTION("IMPORTRANGE(""https://docs.google.com/spreadsheets/d/1XL5vhW3sbDhbH9Cz0tuDiY8C3ctxq1tqvaCgkFb8cCA/edit?usp=sharing"",""หนองบัวลำภู!I398"")"),0)</f>
        <v>0</v>
      </c>
      <c r="J503" s="199">
        <f ca="1">IFERROR(__xludf.DUMMYFUNCTION("IMPORTRANGE(""https://docs.google.com/spreadsheets/d/1XL5vhW3sbDhbH9Cz0tuDiY8C3ctxq1tqvaCgkFb8cCA/edit?usp=sharing"",""หนองบัวลำภู!J398"")"),154)</f>
        <v>154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IFERROR(__xludf.DUMMYFUNCTION("IMPORTRANGE(""https://docs.google.com/spreadsheets/d/1XL5vhW3sbDhbH9Cz0tuDiY8C3ctxq1tqvaCgkFb8cCA/edit?usp=sharing"",""หนองบัวลำภู!I399"")"),0)</f>
        <v>0</v>
      </c>
      <c r="J504" s="190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IFERROR(__xludf.DUMMYFUNCTION("IMPORTRANGE(""https://docs.google.com/spreadsheets/d/1XL5vhW3sbDhbH9Cz0tuDiY8C3ctxq1tqvaCgkFb8cCA/edit?usp=sharing"",""หนองบัวลำภู!I400"")"),0)</f>
        <v>0</v>
      </c>
      <c r="J505" s="199">
        <f ca="1">IFERROR(__xludf.DUMMYFUNCTION("IMPORTRANGE(""https://docs.google.com/spreadsheets/d/1XL5vhW3sbDhbH9Cz0tuDiY8C3ctxq1tqvaCgkFb8cCA/edit?usp=sharing"",""หนองบัวลำภู!J400"")"),696)</f>
        <v>696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IFERROR(__xludf.DUMMYFUNCTION("IMPORTRANGE(""https://docs.google.com/spreadsheets/d/1XL5vhW3sbDhbH9Cz0tuDiY8C3ctxq1tqvaCgkFb8cCA/edit?usp=sharing"",""หนองบัวลำภู!I401"")"),0)</f>
        <v>0</v>
      </c>
      <c r="J506" s="190">
        <f ca="1">IFERROR(__xludf.DUMMYFUNCTION("IMPORTRANGE(""https://docs.google.com/spreadsheets/d/1XL5vhW3sbDhbH9Cz0tuDiY8C3ctxq1tqvaCgkFb8cCA/edit?usp=sharing"",""หนองบัวลำภู!J401"")"),0)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IFERROR(__xludf.DUMMYFUNCTION("IMPORTRANGE(""https://docs.google.com/spreadsheets/d/1XL5vhW3sbDhbH9Cz0tuDiY8C3ctxq1tqvaCgkFb8cCA/edit?usp=sharing"",""หนองบัวลำภู!I402"")"),0)</f>
        <v>0</v>
      </c>
      <c r="J507" s="199">
        <f ca="1">IFERROR(__xludf.DUMMYFUNCTION("IMPORTRANGE(""https://docs.google.com/spreadsheets/d/1XL5vhW3sbDhbH9Cz0tuDiY8C3ctxq1tqvaCgkFb8cCA/edit?usp=sharing"",""หนองบัวลำภู!J402"")"),0)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IFERROR(__xludf.DUMMYFUNCTION("IMPORTRANGE(""https://docs.google.com/spreadsheets/d/1XL5vhW3sbDhbH9Cz0tuDiY8C3ctxq1tqvaCgkFb8cCA/edit?usp=sharing"",""หนองบัวลำภู!I403"")"),0)</f>
        <v>0</v>
      </c>
      <c r="J508" s="164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IFERROR(__xludf.DUMMYFUNCTION("IMPORTRANGE(""https://docs.google.com/spreadsheets/d/1XL5vhW3sbDhbH9Cz0tuDiY8C3ctxq1tqvaCgkFb8cCA/edit?usp=sharing"",""หนองบัวลำภู!I404"")"),0)</f>
        <v>0</v>
      </c>
      <c r="J509" s="164">
        <f ca="1">IFERROR(__xludf.DUMMYFUNCTION("IMPORTRANGE(""https://docs.google.com/spreadsheets/d/1XL5vhW3sbDhbH9Cz0tuDiY8C3ctxq1tqvaCgkFb8cCA/edit?usp=sharing"",""หนองบัวลำภู!J404"")"),209)</f>
        <v>209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IFERROR(__xludf.DUMMYFUNCTION("IMPORTRANGE(""https://docs.google.com/spreadsheets/d/1XL5vhW3sbDhbH9Cz0tuDiY8C3ctxq1tqvaCgkFb8cCA/edit?usp=sharing"",""หนองบัวลำภู!I405"")"),0)</f>
        <v>0</v>
      </c>
      <c r="J510" s="199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IFERROR(__xludf.DUMMYFUNCTION("IMPORTRANGE(""https://docs.google.com/spreadsheets/d/1XL5vhW3sbDhbH9Cz0tuDiY8C3ctxq1tqvaCgkFb8cCA/edit?usp=sharing"",""หนองบัวลำภู!I406"")"),0)</f>
        <v>0</v>
      </c>
      <c r="J511" s="199">
        <f ca="1">IFERROR(__xludf.DUMMYFUNCTION("IMPORTRANGE(""https://docs.google.com/spreadsheets/d/1XL5vhW3sbDhbH9Cz0tuDiY8C3ctxq1tqvaCgkFb8cCA/edit?usp=sharing"",""หนองบัวลำภู!J406"")"),184)</f>
        <v>184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IFERROR(__xludf.DUMMYFUNCTION("IMPORTRANGE(""https://docs.google.com/spreadsheets/d/1XL5vhW3sbDhbH9Cz0tuDiY8C3ctxq1tqvaCgkFb8cCA/edit?usp=sharing"",""หนองบัวลำภู!I407"")"),0)</f>
        <v>0</v>
      </c>
      <c r="J512" s="199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IFERROR(__xludf.DUMMYFUNCTION("IMPORTRANGE(""https://docs.google.com/spreadsheets/d/1XL5vhW3sbDhbH9Cz0tuDiY8C3ctxq1tqvaCgkFb8cCA/edit?usp=sharing"",""หนองบัวลำภู!I408"")"),0)</f>
        <v>0</v>
      </c>
      <c r="J513" s="199">
        <f ca="1">IFERROR(__xludf.DUMMYFUNCTION("IMPORTRANGE(""https://docs.google.com/spreadsheets/d/1XL5vhW3sbDhbH9Cz0tuDiY8C3ctxq1tqvaCgkFb8cCA/edit?usp=sharing"",""หนองบัวลำภู!J408"")"),25)</f>
        <v>25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IFERROR(__xludf.DUMMYFUNCTION("IMPORTRANGE(""https://docs.google.com/spreadsheets/d/1XL5vhW3sbDhbH9Cz0tuDiY8C3ctxq1tqvaCgkFb8cCA/edit?usp=sharing"",""หนองบัวลำภู!I409"")"),0)</f>
        <v>0</v>
      </c>
      <c r="J514" s="199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IFERROR(__xludf.DUMMYFUNCTION("IMPORTRANGE(""https://docs.google.com/spreadsheets/d/1XL5vhW3sbDhbH9Cz0tuDiY8C3ctxq1tqvaCgkFb8cCA/edit?usp=sharing"",""หนองบัวลำภู!I410"")"),0)</f>
        <v>0</v>
      </c>
      <c r="J515" s="199">
        <f ca="1">IFERROR(__xludf.DUMMYFUNCTION("IMPORTRANGE(""https://docs.google.com/spreadsheets/d/1XL5vhW3sbDhbH9Cz0tuDiY8C3ctxq1tqvaCgkFb8cCA/edit?usp=sharing"",""หนองบัวลำภู!J410"")"),3)</f>
        <v>3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IFERROR(__xludf.DUMMYFUNCTION("IMPORTRANGE(""https://docs.google.com/spreadsheets/d/1XL5vhW3sbDhbH9Cz0tuDiY8C3ctxq1tqvaCgkFb8cCA/edit?usp=sharing"",""หนองบัวลำภู!I412"")"),0)</f>
        <v>0</v>
      </c>
      <c r="J517" s="284">
        <f ca="1">IFERROR(__xludf.DUMMYFUNCTION("IMPORTRANGE(""https://docs.google.com/spreadsheets/d/1XL5vhW3sbDhbH9Cz0tuDiY8C3ctxq1tqvaCgkFb8cCA/edit?usp=sharing"",""หนองบัวลำภู!J412"")"),0)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IFERROR(__xludf.DUMMYFUNCTION("IMPORTRANGE(""https://docs.google.com/spreadsheets/d/1XL5vhW3sbDhbH9Cz0tuDiY8C3ctxq1tqvaCgkFb8cCA/edit?usp=sharing"",""หนองบัวลำภู!I413"")"),0)</f>
        <v>0</v>
      </c>
      <c r="J518" s="284">
        <f ca="1">IFERROR(__xludf.DUMMYFUNCTION("IMPORTRANGE(""https://docs.google.com/spreadsheets/d/1XL5vhW3sbDhbH9Cz0tuDiY8C3ctxq1tqvaCgkFb8cCA/edit?usp=sharing"",""หนองบัวลำภู!J413"")"),0)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IFERROR(__xludf.DUMMYFUNCTION("IMPORTRANGE(""https://docs.google.com/spreadsheets/d/1XL5vhW3sbDhbH9Cz0tuDiY8C3ctxq1tqvaCgkFb8cCA/edit?usp=sharing"",""หนองบัวลำภู!I414"")"),0)</f>
        <v>0</v>
      </c>
      <c r="J519" s="189">
        <f ca="1">IFERROR(__xludf.DUMMYFUNCTION("IMPORTRANGE(""https://docs.google.com/spreadsheets/d/1XL5vhW3sbDhbH9Cz0tuDiY8C3ctxq1tqvaCgkFb8cCA/edit?usp=sharing"",""หนองบัวลำภู!J414"")"),0)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IFERROR(__xludf.DUMMYFUNCTION("IMPORTRANGE(""https://docs.google.com/spreadsheets/d/1XL5vhW3sbDhbH9Cz0tuDiY8C3ctxq1tqvaCgkFb8cCA/edit?usp=sharing"",""หนองบัวลำภู!I415"")"),0)</f>
        <v>0</v>
      </c>
      <c r="J520" s="189">
        <f ca="1">IFERROR(__xludf.DUMMYFUNCTION("IMPORTRANGE(""https://docs.google.com/spreadsheets/d/1XL5vhW3sbDhbH9Cz0tuDiY8C3ctxq1tqvaCgkFb8cCA/edit?usp=sharing"",""หนองบัวลำภู!J415"")"),0)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IFERROR(__xludf.DUMMYFUNCTION("IMPORTRANGE(""https://docs.google.com/spreadsheets/d/1XL5vhW3sbDhbH9Cz0tuDiY8C3ctxq1tqvaCgkFb8cCA/edit?usp=sharing"",""หนองบัวลำภู!I416"")"),0)</f>
        <v>0</v>
      </c>
      <c r="J521" s="189">
        <f ca="1">IFERROR(__xludf.DUMMYFUNCTION("IMPORTRANGE(""https://docs.google.com/spreadsheets/d/1XL5vhW3sbDhbH9Cz0tuDiY8C3ctxq1tqvaCgkFb8cCA/edit?usp=sharing"",""หนองบัวลำภู!J416"")"),0)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IFERROR(__xludf.DUMMYFUNCTION("IMPORTRANGE(""https://docs.google.com/spreadsheets/d/1XL5vhW3sbDhbH9Cz0tuDiY8C3ctxq1tqvaCgkFb8cCA/edit?usp=sharing"",""หนองบัวลำภู!I417"")"),0)</f>
        <v>0</v>
      </c>
      <c r="J522" s="189">
        <f ca="1">IFERROR(__xludf.DUMMYFUNCTION("IMPORTRANGE(""https://docs.google.com/spreadsheets/d/1XL5vhW3sbDhbH9Cz0tuDiY8C3ctxq1tqvaCgkFb8cCA/edit?usp=sharing"",""หนองบัวลำภู!J417"")"),0)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IFERROR(__xludf.DUMMYFUNCTION("IMPORTRANGE(""https://docs.google.com/spreadsheets/d/1XL5vhW3sbDhbH9Cz0tuDiY8C3ctxq1tqvaCgkFb8cCA/edit?usp=sharing"",""หนองบัวลำภู!I418"")"),0)</f>
        <v>0</v>
      </c>
      <c r="J523" s="189">
        <f ca="1">IFERROR(__xludf.DUMMYFUNCTION("IMPORTRANGE(""https://docs.google.com/spreadsheets/d/1XL5vhW3sbDhbH9Cz0tuDiY8C3ctxq1tqvaCgkFb8cCA/edit?usp=sharing"",""หนองบัวลำภู!J418"")"),0)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IFERROR(__xludf.DUMMYFUNCTION("IMPORTRANGE(""https://docs.google.com/spreadsheets/d/1XL5vhW3sbDhbH9Cz0tuDiY8C3ctxq1tqvaCgkFb8cCA/edit?usp=sharing"",""หนองบัวลำภู!I419"")"),0)</f>
        <v>0</v>
      </c>
      <c r="J524" s="189">
        <f ca="1">IFERROR(__xludf.DUMMYFUNCTION("IMPORTRANGE(""https://docs.google.com/spreadsheets/d/1XL5vhW3sbDhbH9Cz0tuDiY8C3ctxq1tqvaCgkFb8cCA/edit?usp=sharing"",""หนองบัวลำภู!J419"")"),0)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IFERROR(__xludf.DUMMYFUNCTION("IMPORTRANGE(""https://docs.google.com/spreadsheets/d/1XL5vhW3sbDhbH9Cz0tuDiY8C3ctxq1tqvaCgkFb8cCA/edit?usp=sharing"",""หนองบัวลำภู!I420"")"),0)</f>
        <v>0</v>
      </c>
      <c r="J525" s="284">
        <f ca="1">IFERROR(__xludf.DUMMYFUNCTION("IMPORTRANGE(""https://docs.google.com/spreadsheets/d/1XL5vhW3sbDhbH9Cz0tuDiY8C3ctxq1tqvaCgkFb8cCA/edit?usp=sharing"",""หนองบัวลำภู!J420"")"),0)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IFERROR(__xludf.DUMMYFUNCTION("IMPORTRANGE(""https://docs.google.com/spreadsheets/d/1XL5vhW3sbDhbH9Cz0tuDiY8C3ctxq1tqvaCgkFb8cCA/edit?usp=sharing"",""หนองบัวลำภู!I421"")"),0)</f>
        <v>0</v>
      </c>
      <c r="J526" s="284">
        <f ca="1">IFERROR(__xludf.DUMMYFUNCTION("IMPORTRANGE(""https://docs.google.com/spreadsheets/d/1XL5vhW3sbDhbH9Cz0tuDiY8C3ctxq1tqvaCgkFb8cCA/edit?usp=sharing"",""หนองบัวลำภู!J421"")"),0)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IFERROR(__xludf.DUMMYFUNCTION("IMPORTRANGE(""https://docs.google.com/spreadsheets/d/1XL5vhW3sbDhbH9Cz0tuDiY8C3ctxq1tqvaCgkFb8cCA/edit?usp=sharing"",""หนองบัวลำภู!I422"")"),0)</f>
        <v>0</v>
      </c>
      <c r="J527" s="199">
        <f ca="1">IFERROR(__xludf.DUMMYFUNCTION("IMPORTRANGE(""https://docs.google.com/spreadsheets/d/1XL5vhW3sbDhbH9Cz0tuDiY8C3ctxq1tqvaCgkFb8cCA/edit?usp=sharing"",""หนองบัวลำภู!J422"")"),0)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IFERROR(__xludf.DUMMYFUNCTION("IMPORTRANGE(""https://docs.google.com/spreadsheets/d/1XL5vhW3sbDhbH9Cz0tuDiY8C3ctxq1tqvaCgkFb8cCA/edit?usp=sharing"",""หนองบัวลำภู!I423"")"),0)</f>
        <v>0</v>
      </c>
      <c r="J528" s="199">
        <f ca="1">IFERROR(__xludf.DUMMYFUNCTION("IMPORTRANGE(""https://docs.google.com/spreadsheets/d/1XL5vhW3sbDhbH9Cz0tuDiY8C3ctxq1tqvaCgkFb8cCA/edit?usp=sharing"",""หนองบัวลำภู!J423"")"),0)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IFERROR(__xludf.DUMMYFUNCTION("IMPORTRANGE(""https://docs.google.com/spreadsheets/d/1XL5vhW3sbDhbH9Cz0tuDiY8C3ctxq1tqvaCgkFb8cCA/edit?usp=sharing"",""หนองบัวลำภู!I424"")"),0)</f>
        <v>0</v>
      </c>
      <c r="J529" s="199">
        <f ca="1">IFERROR(__xludf.DUMMYFUNCTION("IMPORTRANGE(""https://docs.google.com/spreadsheets/d/1XL5vhW3sbDhbH9Cz0tuDiY8C3ctxq1tqvaCgkFb8cCA/edit?usp=sharing"",""หนองบัวลำภู!J424"")"),0)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IFERROR(__xludf.DUMMYFUNCTION("IMPORTRANGE(""https://docs.google.com/spreadsheets/d/1XL5vhW3sbDhbH9Cz0tuDiY8C3ctxq1tqvaCgkFb8cCA/edit?usp=sharing"",""หนองบัวลำภู!I425"")"),0)</f>
        <v>0</v>
      </c>
      <c r="J530" s="199">
        <f ca="1">IFERROR(__xludf.DUMMYFUNCTION("IMPORTRANGE(""https://docs.google.com/spreadsheets/d/1XL5vhW3sbDhbH9Cz0tuDiY8C3ctxq1tqvaCgkFb8cCA/edit?usp=sharing"",""หนองบัวลำภู!J425"")"),0)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IFERROR(__xludf.DUMMYFUNCTION("IMPORTRANGE(""https://docs.google.com/spreadsheets/d/1XL5vhW3sbDhbH9Cz0tuDiY8C3ctxq1tqvaCgkFb8cCA/edit?usp=sharing"",""หนองบัวลำภู!I426"")"),0)</f>
        <v>0</v>
      </c>
      <c r="J531" s="199">
        <f ca="1">IFERROR(__xludf.DUMMYFUNCTION("IMPORTRANGE(""https://docs.google.com/spreadsheets/d/1XL5vhW3sbDhbH9Cz0tuDiY8C3ctxq1tqvaCgkFb8cCA/edit?usp=sharing"",""หนองบัวลำภู!J426"")"),0)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IFERROR(__xludf.DUMMYFUNCTION("IMPORTRANGE(""https://docs.google.com/spreadsheets/d/1XL5vhW3sbDhbH9Cz0tuDiY8C3ctxq1tqvaCgkFb8cCA/edit?usp=sharing"",""หนองบัวลำภู!L429"")"),0)</f>
        <v>0</v>
      </c>
      <c r="M534" s="166"/>
      <c r="N534" s="170">
        <f ca="1">IFERROR(__xludf.DUMMYFUNCTION("IMPORTRANGE(""https://docs.google.com/spreadsheets/d/1XL5vhW3sbDhbH9Cz0tuDiY8C3ctxq1tqvaCgkFb8cCA/edit?usp=sharing"",""หนองบัวลำภู!M429"")"),0)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7"/>
      <c r="N535" s="170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70">
        <f t="shared" ca="1" si="118"/>
        <v>87.489807804309848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IFERROR(__xludf.DUMMYFUNCTION("IMPORTRANGE(""https://docs.google.com/spreadsheets/d/1XL5vhW3sbDhbH9Cz0tuDiY8C3ctxq1tqvaCgkFb8cCA/edit?usp=sharing"",""หนองบัวลำภู!L431"")"),0)</f>
        <v>0</v>
      </c>
      <c r="M536" s="170"/>
      <c r="N536" s="170">
        <f ca="1">IFERROR(__xludf.DUMMYFUNCTION("IMPORTRANGE(""https://docs.google.com/spreadsheets/d/1XL5vhW3sbDhbH9Cz0tuDiY8C3ctxq1tqvaCgkFb8cCA/edit?usp=sharing"",""หนองบัวลำภู!M431"")"),0)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70"/>
      <c r="N537" s="170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70">
        <f t="shared" ca="1" si="118"/>
        <v>87.489807804309848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IFERROR(__xludf.DUMMYFUNCTION("IMPORTRANGE(""https://docs.google.com/spreadsheets/d/1XL5vhW3sbDhbH9Cz0tuDiY8C3ctxq1tqvaCgkFb8cCA/edit?usp=sharing"",""หนองบัวลำภู!J438"")"),0)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IFERROR(__xludf.DUMMYFUNCTION("IMPORTRANGE(""https://docs.google.com/spreadsheets/d/1XL5vhW3sbDhbH9Cz0tuDiY8C3ctxq1tqvaCgkFb8cCA/edit?usp=sharing"",""หนองบัวลำภู!J439"")"),1)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IFERROR(__xludf.DUMMYFUNCTION("IMPORTRANGE(""https://docs.google.com/spreadsheets/d/1XL5vhW3sbDhbH9Cz0tuDiY8C3ctxq1tqvaCgkFb8cCA/edit?usp=sharing"",""หนองบัวลำภู!J440"")"),1)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IFERROR(__xludf.DUMMYFUNCTION("IMPORTRANGE(""https://docs.google.com/spreadsheets/d/1XL5vhW3sbDhbH9Cz0tuDiY8C3ctxq1tqvaCgkFb8cCA/edit?usp=sharing"",""หนองบัวลำภู!J441"")"),1)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IFERROR(__xludf.DUMMYFUNCTION("IMPORTRANGE(""https://docs.google.com/spreadsheets/d/1XL5vhW3sbDhbH9Cz0tuDiY8C3ctxq1tqvaCgkFb8cCA/edit?usp=sharing"",""หนองบัวลำภู!I442"")"),22)</f>
        <v>22</v>
      </c>
      <c r="J547" s="190">
        <f ca="1">IFERROR(__xludf.DUMMYFUNCTION("IMPORTRANGE(""https://docs.google.com/spreadsheets/d/1XL5vhW3sbDhbH9Cz0tuDiY8C3ctxq1tqvaCgkFb8cCA/edit?usp=sharing"",""หนองบัวลำภู!J442"")"),22)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IFERROR(__xludf.DUMMYFUNCTION("IMPORTRANGE(""https://docs.google.com/spreadsheets/d/1XL5vhW3sbDhbH9Cz0tuDiY8C3ctxq1tqvaCgkFb8cCA/edit?usp=sharing"",""หนองบัวลำภู!J166"")"),0)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IFERROR(__xludf.DUMMYFUNCTION("IMPORTRANGE(""https://docs.google.com/spreadsheets/d/1XL5vhW3sbDhbH9Cz0tuDiY8C3ctxq1tqvaCgkFb8cCA/edit?usp=sharing"",""หนองบัวลำภู!J444"")"),0)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IFERROR(__xludf.DUMMYFUNCTION("IMPORTRANGE(""https://docs.google.com/spreadsheets/d/1XL5vhW3sbDhbH9Cz0tuDiY8C3ctxq1tqvaCgkFb8cCA/edit?usp=sharing"",""หนองบัวลำภู!J446"")"),908)</f>
        <v>908</v>
      </c>
      <c r="K551" s="411">
        <f ca="1">IF(I551&gt;0,J551*100/I551,0)</f>
        <v>18.16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IFERROR(__xludf.DUMMYFUNCTION("IMPORTRANGE(""https://docs.google.com/spreadsheets/d/1XL5vhW3sbDhbH9Cz0tuDiY8C3ctxq1tqvaCgkFb8cCA/edit?usp=sharing"",""หนองบัวลำภู!M446"")"),111581.78)</f>
        <v>111581.78</v>
      </c>
      <c r="O551" s="412">
        <f t="shared" ref="O551:O555" ca="1" si="120">+IF(L551&gt;0,N551*100/L551,0)</f>
        <v>35.994122580645161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IFERROR(__xludf.DUMMYFUNCTION("IMPORTRANGE(""https://docs.google.com/spreadsheets/d/1XL5vhW3sbDhbH9Cz0tuDiY8C3ctxq1tqvaCgkFb8cCA/edit?usp=sharing"",""หนองบัวลำภู!L447"")"),0)</f>
        <v>0</v>
      </c>
      <c r="M552" s="166"/>
      <c r="N552" s="170">
        <f ca="1">IFERROR(__xludf.DUMMYFUNCTION("IMPORTRANGE(""https://docs.google.com/spreadsheets/d/1XL5vhW3sbDhbH9Cz0tuDiY8C3ctxq1tqvaCgkFb8cCA/edit?usp=sharing"",""หนองบัวลำภู!M447"")"),0)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7"/>
      <c r="N553" s="170">
        <f ca="1">IFERROR(__xludf.DUMMYFUNCTION("IMPORTRANGE(""https://docs.google.com/spreadsheets/d/1XL5vhW3sbDhbH9Cz0tuDiY8C3ctxq1tqvaCgkFb8cCA/edit?usp=sharing"",""หนองบัวลำภู!M448"")"),111581.78)</f>
        <v>111581.78</v>
      </c>
      <c r="O553" s="170">
        <f t="shared" ca="1" si="120"/>
        <v>35.994122580645161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IFERROR(__xludf.DUMMYFUNCTION("IMPORTRANGE(""https://docs.google.com/spreadsheets/d/1XL5vhW3sbDhbH9Cz0tuDiY8C3ctxq1tqvaCgkFb8cCA/edit?usp=sharing"",""หนองบัวลำภู!L449"")"),0)</f>
        <v>0</v>
      </c>
      <c r="M554" s="170"/>
      <c r="N554" s="170">
        <f ca="1">IFERROR(__xludf.DUMMYFUNCTION("IMPORTRANGE(""https://docs.google.com/spreadsheets/d/1XL5vhW3sbDhbH9Cz0tuDiY8C3ctxq1tqvaCgkFb8cCA/edit?usp=sharing"",""หนองบัวลำภู!M449"")"),0)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70"/>
      <c r="N555" s="170">
        <f ca="1">IFERROR(__xludf.DUMMYFUNCTION("IMPORTRANGE(""https://docs.google.com/spreadsheets/d/1XL5vhW3sbDhbH9Cz0tuDiY8C3ctxq1tqvaCgkFb8cCA/edit?usp=sharing"",""หนองบัวลำภู!M450"")"),111581.78)</f>
        <v>111581.78</v>
      </c>
      <c r="O555" s="170">
        <f t="shared" ca="1" si="120"/>
        <v>35.994122580645161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IFERROR(__xludf.DUMMYFUNCTION("IMPORTRANGE(""https://docs.google.com/spreadsheets/d/1XL5vhW3sbDhbH9Cz0tuDiY8C3ctxq1tqvaCgkFb8cCA/edit?usp=sharing"",""หนองบัวลำภู!M451"")"),0)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IFERROR(__xludf.DUMMYFUNCTION("IMPORTRANGE(""https://docs.google.com/spreadsheets/d/1XL5vhW3sbDhbH9Cz0tuDiY8C3ctxq1tqvaCgkFb8cCA/edit?usp=sharing"",""หนองบัวลำภู!M452"")"),0)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IFERROR(__xludf.DUMMYFUNCTION("IMPORTRANGE(""https://docs.google.com/spreadsheets/d/1XL5vhW3sbDhbH9Cz0tuDiY8C3ctxq1tqvaCgkFb8cCA/edit?usp=sharing"",""หนองบัวลำภู!M453"")"),17400)</f>
        <v>17400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IFERROR(__xludf.DUMMYFUNCTION("IMPORTRANGE(""https://docs.google.com/spreadsheets/d/1XL5vhW3sbDhbH9Cz0tuDiY8C3ctxq1tqvaCgkFb8cCA/edit?usp=sharing"",""หนองบัวลำภู!M454"")"),94181.78)</f>
        <v>94181.78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IFERROR(__xludf.DUMMYFUNCTION("IMPORTRANGE(""https://docs.google.com/spreadsheets/d/1XL5vhW3sbDhbH9Cz0tuDiY8C3ctxq1tqvaCgkFb8cCA/edit?usp=sharing"",""หนองบัวลำภู!I455"")"),5000)</f>
        <v>5000</v>
      </c>
      <c r="J560" s="164">
        <f ca="1">IFERROR(__xludf.DUMMYFUNCTION("IMPORTRANGE(""https://docs.google.com/spreadsheets/d/1XL5vhW3sbDhbH9Cz0tuDiY8C3ctxq1tqvaCgkFb8cCA/edit?usp=sharing"",""หนองบัวลำภู!J455"")"),908)</f>
        <v>908</v>
      </c>
      <c r="K560" s="225">
        <f t="shared" ref="K560:K564" ca="1" si="121">IF(I560&gt;0,J560*100/I560,0)</f>
        <v>18.16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IFERROR(__xludf.DUMMYFUNCTION("IMPORTRANGE(""https://docs.google.com/spreadsheets/d/1XL5vhW3sbDhbH9Cz0tuDiY8C3ctxq1tqvaCgkFb8cCA/edit?usp=sharing"",""หนองบัวลำภู!I456"")"),0)</f>
        <v>0</v>
      </c>
      <c r="J561" s="205">
        <f ca="1">IFERROR(__xludf.DUMMYFUNCTION("IMPORTRANGE(""https://docs.google.com/spreadsheets/d/1XL5vhW3sbDhbH9Cz0tuDiY8C3ctxq1tqvaCgkFb8cCA/edit?usp=sharing"",""หนองบัวลำภู!J456"")"),54)</f>
        <v>54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IFERROR(__xludf.DUMMYFUNCTION("IMPORTRANGE(""https://docs.google.com/spreadsheets/d/1XL5vhW3sbDhbH9Cz0tuDiY8C3ctxq1tqvaCgkFb8cCA/edit?usp=sharing"",""หนองบัวลำภู!I457"")"),0)</f>
        <v>0</v>
      </c>
      <c r="J562" s="205" t="str">
        <f ca="1">IFERROR(__xludf.DUMMYFUNCTION("IMPORTRANGE(""https://docs.google.com/spreadsheets/d/1XL5vhW3sbDhbH9Cz0tuDiY8C3ctxq1tqvaCgkFb8cCA/edit?usp=sharing"",""หนองบัวลำภู!J457"")"),"")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IFERROR(__xludf.DUMMYFUNCTION("IMPORTRANGE(""https://docs.google.com/spreadsheets/d/1XL5vhW3sbDhbH9Cz0tuDiY8C3ctxq1tqvaCgkFb8cCA/edit?usp=sharing"",""หนองบัวลำภู!I458"")"),0)</f>
        <v>0</v>
      </c>
      <c r="J563" s="189" t="str">
        <f ca="1">IFERROR(__xludf.DUMMYFUNCTION("IMPORTRANGE(""https://docs.google.com/spreadsheets/d/1XL5vhW3sbDhbH9Cz0tuDiY8C3ctxq1tqvaCgkFb8cCA/edit?usp=sharing"",""หนองบัวลำภู!J458"")"),"")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IFERROR(__xludf.DUMMYFUNCTION("IMPORTRANGE(""https://docs.google.com/spreadsheets/d/1XL5vhW3sbDhbH9Cz0tuDiY8C3ctxq1tqvaCgkFb8cCA/edit?usp=sharing"",""หนองบัวลำภู!J459"")"),3201)</f>
        <v>3201</v>
      </c>
      <c r="K564" s="372">
        <f t="shared" ca="1" si="121"/>
        <v>84.236842105263165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IFERROR(__xludf.DUMMYFUNCTION("IMPORTRANGE(""https://docs.google.com/spreadsheets/d/1XL5vhW3sbDhbH9Cz0tuDiY8C3ctxq1tqvaCgkFb8cCA/edit?usp=sharing"",""หนองบัวลำภู!M459"")"),42779.84)</f>
        <v>42779.839999999997</v>
      </c>
      <c r="O564" s="373">
        <f t="shared" ref="O564:O568" ca="1" si="122">+IF(L564&gt;0,N564*100/L564,0)</f>
        <v>27.997277486910995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IFERROR(__xludf.DUMMYFUNCTION("IMPORTRANGE(""https://docs.google.com/spreadsheets/d/1XL5vhW3sbDhbH9Cz0tuDiY8C3ctxq1tqvaCgkFb8cCA/edit?usp=sharing"",""หนองบัวลำภู!L460"")"),0)</f>
        <v>0</v>
      </c>
      <c r="M565" s="166"/>
      <c r="N565" s="170">
        <f ca="1">IFERROR(__xludf.DUMMYFUNCTION("IMPORTRANGE(""https://docs.google.com/spreadsheets/d/1XL5vhW3sbDhbH9Cz0tuDiY8C3ctxq1tqvaCgkFb8cCA/edit?usp=sharing"",""หนองบัวลำภู!M460"")"),0)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7"/>
      <c r="N566" s="170">
        <f ca="1">IFERROR(__xludf.DUMMYFUNCTION("IMPORTRANGE(""https://docs.google.com/spreadsheets/d/1XL5vhW3sbDhbH9Cz0tuDiY8C3ctxq1tqvaCgkFb8cCA/edit?usp=sharing"",""หนองบัวลำภู!M461"")"),42779.84)</f>
        <v>42779.839999999997</v>
      </c>
      <c r="O566" s="170">
        <f t="shared" ca="1" si="122"/>
        <v>27.997277486910995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IFERROR(__xludf.DUMMYFUNCTION("IMPORTRANGE(""https://docs.google.com/spreadsheets/d/1XL5vhW3sbDhbH9Cz0tuDiY8C3ctxq1tqvaCgkFb8cCA/edit?usp=sharing"",""หนองบัวลำภู!L462"")"),0)</f>
        <v>0</v>
      </c>
      <c r="M567" s="170"/>
      <c r="N567" s="170">
        <f ca="1">IFERROR(__xludf.DUMMYFUNCTION("IMPORTRANGE(""https://docs.google.com/spreadsheets/d/1XL5vhW3sbDhbH9Cz0tuDiY8C3ctxq1tqvaCgkFb8cCA/edit?usp=sharing"",""หนองบัวลำภู!M462"")"),0)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70"/>
      <c r="N568" s="170">
        <f ca="1">IFERROR(__xludf.DUMMYFUNCTION("IMPORTRANGE(""https://docs.google.com/spreadsheets/d/1XL5vhW3sbDhbH9Cz0tuDiY8C3ctxq1tqvaCgkFb8cCA/edit?usp=sharing"",""หนองบัวลำภู!M463"")"),42779.84)</f>
        <v>42779.839999999997</v>
      </c>
      <c r="O568" s="170">
        <f t="shared" ca="1" si="122"/>
        <v>27.997277486910995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IFERROR(__xludf.DUMMYFUNCTION("IMPORTRANGE(""https://docs.google.com/spreadsheets/d/1XL5vhW3sbDhbH9Cz0tuDiY8C3ctxq1tqvaCgkFb8cCA/edit?usp=sharing"",""หนองบัวลำภู!M464"")"),0)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IFERROR(__xludf.DUMMYFUNCTION("IMPORTRANGE(""https://docs.google.com/spreadsheets/d/1XL5vhW3sbDhbH9Cz0tuDiY8C3ctxq1tqvaCgkFb8cCA/edit?usp=sharing"",""หนองบัวลำภู!M465"")"),0)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IFERROR(__xludf.DUMMYFUNCTION("IMPORTRANGE(""https://docs.google.com/spreadsheets/d/1XL5vhW3sbDhbH9Cz0tuDiY8C3ctxq1tqvaCgkFb8cCA/edit?usp=sharing"",""หนองบัวลำภู!M466"")"),41066.64)</f>
        <v>41066.639999999999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IFERROR(__xludf.DUMMYFUNCTION("IMPORTRANGE(""https://docs.google.com/spreadsheets/d/1XL5vhW3sbDhbH9Cz0tuDiY8C3ctxq1tqvaCgkFb8cCA/edit?usp=sharing"",""หนองบัวลำภู!M467"")"),1713.2)</f>
        <v>1713.2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IFERROR(__xludf.DUMMYFUNCTION("IMPORTRANGE(""https://docs.google.com/spreadsheets/d/1XL5vhW3sbDhbH9Cz0tuDiY8C3ctxq1tqvaCgkFb8cCA/edit?usp=sharing"",""หนองบัวลำภู!J468"")"),3201)</f>
        <v>3201</v>
      </c>
      <c r="K573" s="203">
        <f ca="1">IF(I573&gt;0,J573*100/I573,0)</f>
        <v>84.236842105263165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IFERROR(__xludf.DUMMYFUNCTION("IMPORTRANGE(""https://docs.google.com/spreadsheets/d/1XL5vhW3sbDhbH9Cz0tuDiY8C3ctxq1tqvaCgkFb8cCA/edit?usp=sharing"",""หนองบัวลำภู!I470"")"),6)</f>
        <v>6</v>
      </c>
      <c r="J575" s="199">
        <f ca="1">IFERROR(__xludf.DUMMYFUNCTION("IMPORTRANGE(""https://docs.google.com/spreadsheets/d/1XL5vhW3sbDhbH9Cz0tuDiY8C3ctxq1tqvaCgkFb8cCA/edit?usp=sharing"",""หนองบัวลำภู!J470"")"),2)</f>
        <v>2</v>
      </c>
      <c r="K575" s="165">
        <f t="shared" ref="K575:K579" ca="1" si="123">IF(I575&gt;0,J575*100/I575,0)</f>
        <v>33.333333333333336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IFERROR(__xludf.DUMMYFUNCTION("IMPORTRANGE(""https://docs.google.com/spreadsheets/d/1XL5vhW3sbDhbH9Cz0tuDiY8C3ctxq1tqvaCgkFb8cCA/edit?usp=sharing"",""หนองบัวลำภู!I471"")"),0)</f>
        <v>0</v>
      </c>
      <c r="J576" s="199">
        <f ca="1">IFERROR(__xludf.DUMMYFUNCTION("IMPORTRANGE(""https://docs.google.com/spreadsheets/d/1XL5vhW3sbDhbH9Cz0tuDiY8C3ctxq1tqvaCgkFb8cCA/edit?usp=sharing"",""หนองบัวลำภู!J471"")"),116)</f>
        <v>116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IFERROR(__xludf.DUMMYFUNCTION("IMPORTRANGE(""https://docs.google.com/spreadsheets/d/1XL5vhW3sbDhbH9Cz0tuDiY8C3ctxq1tqvaCgkFb8cCA/edit?usp=sharing"",""หนองบัวลำภู!I472"")"),0)</f>
        <v>0</v>
      </c>
      <c r="J577" s="190">
        <f ca="1">IFERROR(__xludf.DUMMYFUNCTION("IMPORTRANGE(""https://docs.google.com/spreadsheets/d/1XL5vhW3sbDhbH9Cz0tuDiY8C3ctxq1tqvaCgkFb8cCA/edit?usp=sharing"",""หนองบัวลำภู!J472"")"),3085)</f>
        <v>3085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IFERROR(__xludf.DUMMYFUNCTION("IMPORTRANGE(""https://docs.google.com/spreadsheets/d/1XL5vhW3sbDhbH9Cz0tuDiY8C3ctxq1tqvaCgkFb8cCA/edit?usp=sharing"",""หนองบัวลำภู!I473"")"),0)</f>
        <v>0</v>
      </c>
      <c r="J578" s="199">
        <f ca="1">IFERROR(__xludf.DUMMYFUNCTION("IMPORTRANGE(""https://docs.google.com/spreadsheets/d/1XL5vhW3sbDhbH9Cz0tuDiY8C3ctxq1tqvaCgkFb8cCA/edit?usp=sharing"",""หนองบัวลำภู!J473"")"),0)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IFERROR(__xludf.DUMMYFUNCTION("IMPORTRANGE(""https://docs.google.com/spreadsheets/d/1XL5vhW3sbDhbH9Cz0tuDiY8C3ctxq1tqvaCgkFb8cCA/edit?usp=sharing"",""หนองบัวลำภู!I474"")"),0)</f>
        <v>0</v>
      </c>
      <c r="J579" s="199">
        <f ca="1">IFERROR(__xludf.DUMMYFUNCTION("IMPORTRANGE(""https://docs.google.com/spreadsheets/d/1XL5vhW3sbDhbH9Cz0tuDiY8C3ctxq1tqvaCgkFb8cCA/edit?usp=sharing"",""หนองบัวลำภู!J474"")"),0)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IFERROR(__xludf.DUMMYFUNCTION("IMPORTRANGE(""https://docs.google.com/spreadsheets/d/1XL5vhW3sbDhbH9Cz0tuDiY8C3ctxq1tqvaCgkFb8cCA/edit?usp=sharing"",""หนองบัวลำภู!M475"")"),50800.03)</f>
        <v>50800.03</v>
      </c>
      <c r="O580" s="373">
        <f t="shared" ref="O580:O584" ca="1" si="124">+IF(L580&gt;0,N580*100/L580,0)</f>
        <v>15.532802323803701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IFERROR(__xludf.DUMMYFUNCTION("IMPORTRANGE(""https://docs.google.com/spreadsheets/d/1XL5vhW3sbDhbH9Cz0tuDiY8C3ctxq1tqvaCgkFb8cCA/edit?usp=sharing"",""หนองบัวลำภู!L476"")"),0)</f>
        <v>0</v>
      </c>
      <c r="M581" s="166"/>
      <c r="N581" s="170">
        <f ca="1">IFERROR(__xludf.DUMMYFUNCTION("IMPORTRANGE(""https://docs.google.com/spreadsheets/d/1XL5vhW3sbDhbH9Cz0tuDiY8C3ctxq1tqvaCgkFb8cCA/edit?usp=sharing"",""หนองบัวลำภู!M476"")"),0)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7"/>
      <c r="N582" s="170">
        <f ca="1">IFERROR(__xludf.DUMMYFUNCTION("IMPORTRANGE(""https://docs.google.com/spreadsheets/d/1XL5vhW3sbDhbH9Cz0tuDiY8C3ctxq1tqvaCgkFb8cCA/edit?usp=sharing"",""หนองบัวลำภู!M477"")"),50800.03)</f>
        <v>50800.03</v>
      </c>
      <c r="O582" s="170">
        <f t="shared" ca="1" si="124"/>
        <v>15.532802323803701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IFERROR(__xludf.DUMMYFUNCTION("IMPORTRANGE(""https://docs.google.com/spreadsheets/d/1XL5vhW3sbDhbH9Cz0tuDiY8C3ctxq1tqvaCgkFb8cCA/edit?usp=sharing"",""หนองบัวลำภู!L478"")"),0)</f>
        <v>0</v>
      </c>
      <c r="M583" s="170"/>
      <c r="N583" s="170">
        <f ca="1">IFERROR(__xludf.DUMMYFUNCTION("IMPORTRANGE(""https://docs.google.com/spreadsheets/d/1XL5vhW3sbDhbH9Cz0tuDiY8C3ctxq1tqvaCgkFb8cCA/edit?usp=sharing"",""หนองบัวลำภู!M478"")"),0)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70"/>
      <c r="N584" s="170">
        <f ca="1">IFERROR(__xludf.DUMMYFUNCTION("IMPORTRANGE(""https://docs.google.com/spreadsheets/d/1XL5vhW3sbDhbH9Cz0tuDiY8C3ctxq1tqvaCgkFb8cCA/edit?usp=sharing"",""หนองบัวลำภู!M479"")"),50800.03)</f>
        <v>50800.03</v>
      </c>
      <c r="O584" s="170">
        <f t="shared" ca="1" si="124"/>
        <v>15.532802323803701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IFERROR(__xludf.DUMMYFUNCTION("IMPORTRANGE(""https://docs.google.com/spreadsheets/d/1XL5vhW3sbDhbH9Cz0tuDiY8C3ctxq1tqvaCgkFb8cCA/edit?usp=sharing"",""หนองบัวลำภู!M480"")"),0)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IFERROR(__xludf.DUMMYFUNCTION("IMPORTRANGE(""https://docs.google.com/spreadsheets/d/1XL5vhW3sbDhbH9Cz0tuDiY8C3ctxq1tqvaCgkFb8cCA/edit?usp=sharing"",""หนองบัวลำภู!M481"")"),0)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IFERROR(__xludf.DUMMYFUNCTION("IMPORTRANGE(""https://docs.google.com/spreadsheets/d/1XL5vhW3sbDhbH9Cz0tuDiY8C3ctxq1tqvaCgkFb8cCA/edit?usp=sharing"",""หนองบัวลำภู!M482"")"),47300.03)</f>
        <v>47300.03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IFERROR(__xludf.DUMMYFUNCTION("IMPORTRANGE(""https://docs.google.com/spreadsheets/d/1XL5vhW3sbDhbH9Cz0tuDiY8C3ctxq1tqvaCgkFb8cCA/edit?usp=sharing"",""หนองบัวลำภู!M483"")"),3500)</f>
        <v>3500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IFERROR(__xludf.DUMMYFUNCTION("IMPORTRANGE(""https://docs.google.com/spreadsheets/d/1XL5vhW3sbDhbH9Cz0tuDiY8C3ctxq1tqvaCgkFb8cCA/edit?usp=sharing"",""หนองบัวลำภู!I484"")"),150)</f>
        <v>150</v>
      </c>
      <c r="J589" s="189">
        <f ca="1">IFERROR(__xludf.DUMMYFUNCTION("IMPORTRANGE(""https://docs.google.com/spreadsheets/d/1XL5vhW3sbDhbH9Cz0tuDiY8C3ctxq1tqvaCgkFb8cCA/edit?usp=sharing"",""หนองบัวลำภู!J484"")"),63)</f>
        <v>63</v>
      </c>
      <c r="K589" s="165">
        <f t="shared" ref="K589:K596" ca="1" si="125">IF(I589&gt;0,J589*100/I589,0)</f>
        <v>42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9">
        <f ca="1">IFERROR(__xludf.DUMMYFUNCTION("IMPORTRANGE(""https://docs.google.com/spreadsheets/d/1XL5vhW3sbDhbH9Cz0tuDiY8C3ctxq1tqvaCgkFb8cCA/edit?usp=sharing"",""หนองบัวลำภู!J485"")"),39.54)</f>
        <v>39.54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IFERROR(__xludf.DUMMYFUNCTION("IMPORTRANGE(""https://docs.google.com/spreadsheets/d/1XL5vhW3sbDhbH9Cz0tuDiY8C3ctxq1tqvaCgkFb8cCA/edit?usp=sharing"",""หนองบัวลำภู!I486"")"),150)</f>
        <v>150</v>
      </c>
      <c r="J591" s="189">
        <f ca="1">IFERROR(__xludf.DUMMYFUNCTION("IMPORTRANGE(""https://docs.google.com/spreadsheets/d/1XL5vhW3sbDhbH9Cz0tuDiY8C3ctxq1tqvaCgkFb8cCA/edit?usp=sharing"",""หนองบัวลำภู!J486"")"),0)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9">
        <f ca="1">IFERROR(__xludf.DUMMYFUNCTION("IMPORTRANGE(""https://docs.google.com/spreadsheets/d/1XL5vhW3sbDhbH9Cz0tuDiY8C3ctxq1tqvaCgkFb8cCA/edit?usp=sharing"",""หนองบัวลำภู!J487"")"),0)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IFERROR(__xludf.DUMMYFUNCTION("IMPORTRANGE(""https://docs.google.com/spreadsheets/d/1XL5vhW3sbDhbH9Cz0tuDiY8C3ctxq1tqvaCgkFb8cCA/edit?usp=sharing"",""หนองบัวลำภู!I488"")"),150)</f>
        <v>150</v>
      </c>
      <c r="J593" s="189">
        <f ca="1">IFERROR(__xludf.DUMMYFUNCTION("IMPORTRANGE(""https://docs.google.com/spreadsheets/d/1XL5vhW3sbDhbH9Cz0tuDiY8C3ctxq1tqvaCgkFb8cCA/edit?usp=sharing"",""หนองบัวลำภู!J488"")"),0)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9">
        <f ca="1">IFERROR(__xludf.DUMMYFUNCTION("IMPORTRANGE(""https://docs.google.com/spreadsheets/d/1XL5vhW3sbDhbH9Cz0tuDiY8C3ctxq1tqvaCgkFb8cCA/edit?usp=sharing"",""หนองบัวลำภู!J489"")"),0)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IFERROR(__xludf.DUMMYFUNCTION("IMPORTRANGE(""https://docs.google.com/spreadsheets/d/1XL5vhW3sbDhbH9Cz0tuDiY8C3ctxq1tqvaCgkFb8cCA/edit?usp=sharing"",""หนองบัวลำภู!I490"")"),150)</f>
        <v>150</v>
      </c>
      <c r="J595" s="189">
        <f ca="1">IFERROR(__xludf.DUMMYFUNCTION("IMPORTRANGE(""https://docs.google.com/spreadsheets/d/1XL5vhW3sbDhbH9Cz0tuDiY8C3ctxq1tqvaCgkFb8cCA/edit?usp=sharing"",""หนองบัวลำภู!J490"")"),0)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7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IFERROR(__xludf.DUMMYFUNCTION("IMPORTRANGE(""https://docs.google.com/spreadsheets/d/1XL5vhW3sbDhbH9Cz0tuDiY8C3ctxq1tqvaCgkFb8cCA/edit?usp=sharing"",""หนองบัวลำภู!M492"")"),2795)</f>
        <v>2795</v>
      </c>
      <c r="O597" s="412">
        <f t="shared" ref="O597:O601" ca="1" si="126">+IF(L597&gt;0,N597*100/L597,0)</f>
        <v>24.734513274336283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IFERROR(__xludf.DUMMYFUNCTION("IMPORTRANGE(""https://docs.google.com/spreadsheets/d/1XL5vhW3sbDhbH9Cz0tuDiY8C3ctxq1tqvaCgkFb8cCA/edit?usp=sharing"",""หนองบัวลำภู!L493"")"),0)</f>
        <v>0</v>
      </c>
      <c r="M598" s="166"/>
      <c r="N598" s="170">
        <f ca="1">IFERROR(__xludf.DUMMYFUNCTION("IMPORTRANGE(""https://docs.google.com/spreadsheets/d/1XL5vhW3sbDhbH9Cz0tuDiY8C3ctxq1tqvaCgkFb8cCA/edit?usp=sharing"",""หนองบัวลำภู!M493"")"),0)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7"/>
      <c r="N599" s="170">
        <f ca="1">IFERROR(__xludf.DUMMYFUNCTION("IMPORTRANGE(""https://docs.google.com/spreadsheets/d/1XL5vhW3sbDhbH9Cz0tuDiY8C3ctxq1tqvaCgkFb8cCA/edit?usp=sharing"",""หนองบัวลำภู!M494"")"),2795)</f>
        <v>2795</v>
      </c>
      <c r="O599" s="170">
        <f t="shared" ca="1" si="126"/>
        <v>24.734513274336283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IFERROR(__xludf.DUMMYFUNCTION("IMPORTRANGE(""https://docs.google.com/spreadsheets/d/1XL5vhW3sbDhbH9Cz0tuDiY8C3ctxq1tqvaCgkFb8cCA/edit?usp=sharing"",""หนองบัวลำภู!L495"")"),0)</f>
        <v>0</v>
      </c>
      <c r="M600" s="170"/>
      <c r="N600" s="170">
        <f ca="1">IFERROR(__xludf.DUMMYFUNCTION("IMPORTRANGE(""https://docs.google.com/spreadsheets/d/1XL5vhW3sbDhbH9Cz0tuDiY8C3ctxq1tqvaCgkFb8cCA/edit?usp=sharing"",""หนองบัวลำภู!M495"")"),0)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70"/>
      <c r="N601" s="170">
        <f ca="1">IFERROR(__xludf.DUMMYFUNCTION("IMPORTRANGE(""https://docs.google.com/spreadsheets/d/1XL5vhW3sbDhbH9Cz0tuDiY8C3ctxq1tqvaCgkFb8cCA/edit?usp=sharing"",""หนองบัวลำภู!M496"")"),2795)</f>
        <v>2795</v>
      </c>
      <c r="O601" s="170">
        <f t="shared" ca="1" si="126"/>
        <v>24.734513274336283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IFERROR(__xludf.DUMMYFUNCTION("IMPORTRANGE(""https://docs.google.com/spreadsheets/d/1XL5vhW3sbDhbH9Cz0tuDiY8C3ctxq1tqvaCgkFb8cCA/edit?usp=sharing"",""หนองบัวลำภู!M497"")"),0)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IFERROR(__xludf.DUMMYFUNCTION("IMPORTRANGE(""https://docs.google.com/spreadsheets/d/1XL5vhW3sbDhbH9Cz0tuDiY8C3ctxq1tqvaCgkFb8cCA/edit?usp=sharing"",""หนองบัวลำภู!M498"")"),0)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IFERROR(__xludf.DUMMYFUNCTION("IMPORTRANGE(""https://docs.google.com/spreadsheets/d/1XL5vhW3sbDhbH9Cz0tuDiY8C3ctxq1tqvaCgkFb8cCA/edit?usp=sharing"",""หนองบัวลำภู!M500"")"),2795)</f>
        <v>2795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IFERROR(__xludf.DUMMYFUNCTION("IMPORTRANGE(""https://docs.google.com/spreadsheets/d/1XL5vhW3sbDhbH9Cz0tuDiY8C3ctxq1tqvaCgkFb8cCA/edit?usp=sharing"",""หนองบัวลำภู!J502"")"),0)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IFERROR(__xludf.DUMMYFUNCTION("IMPORTRANGE(""https://docs.google.com/spreadsheets/d/1XL5vhW3sbDhbH9Cz0tuDiY8C3ctxq1tqvaCgkFb8cCA/edit?usp=sharing"",""หนองบัวลำภู!J503"")"),1)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IFERROR(__xludf.DUMMYFUNCTION("IMPORTRANGE(""https://docs.google.com/spreadsheets/d/1XL5vhW3sbDhbH9Cz0tuDiY8C3ctxq1tqvaCgkFb8cCA/edit?usp=sharing"",""หนองบัวลำภู!J166"")"),0)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IFERROR(__xludf.DUMMYFUNCTION("IMPORTRANGE(""https://docs.google.com/spreadsheets/d/1XL5vhW3sbDhbH9Cz0tuDiY8C3ctxq1tqvaCgkFb8cCA/edit?usp=sharing"",""หนองบัวลำภู!J166"")"),0)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IFERROR(__xludf.DUMMYFUNCTION("IMPORTRANGE(""https://docs.google.com/spreadsheets/d/1XL5vhW3sbDhbH9Cz0tuDiY8C3ctxq1tqvaCgkFb8cCA/edit?usp=sharing"",""หนองบัวลำภู!I506"")"),100)</f>
        <v>100</v>
      </c>
      <c r="J611" s="164">
        <f ca="1">IFERROR(__xludf.DUMMYFUNCTION("IMPORTRANGE(""https://docs.google.com/spreadsheets/d/1XL5vhW3sbDhbH9Cz0tuDiY8C3ctxq1tqvaCgkFb8cCA/edit?usp=sharing"",""หนองบัวลำภู!J506"")"),0)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IFERROR(__xludf.DUMMYFUNCTION("IMPORTRANGE(""https://docs.google.com/spreadsheets/d/1XL5vhW3sbDhbH9Cz0tuDiY8C3ctxq1tqvaCgkFb8cCA/edit?usp=sharing"",""หนองบัวลำภู!I507"")"),0)</f>
        <v>0</v>
      </c>
      <c r="J612" s="199">
        <f ca="1">IFERROR(__xludf.DUMMYFUNCTION("IMPORTRANGE(""https://docs.google.com/spreadsheets/d/1XL5vhW3sbDhbH9Cz0tuDiY8C3ctxq1tqvaCgkFb8cCA/edit?usp=sharing"",""หนองบัวลำภู!J507"")"),0)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IFERROR(__xludf.DUMMYFUNCTION("IMPORTRANGE(""https://docs.google.com/spreadsheets/d/1XL5vhW3sbDhbH9Cz0tuDiY8C3ctxq1tqvaCgkFb8cCA/edit?usp=sharing"",""หนองบัวลำภู!I508"")"),0)</f>
        <v>0</v>
      </c>
      <c r="J613" s="199">
        <f ca="1">IFERROR(__xludf.DUMMYFUNCTION("IMPORTRANGE(""https://docs.google.com/spreadsheets/d/1XL5vhW3sbDhbH9Cz0tuDiY8C3ctxq1tqvaCgkFb8cCA/edit?usp=sharing"",""หนองบัวลำภู!J508"")"),0)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IFERROR(__xludf.DUMMYFUNCTION("IMPORTRANGE(""https://docs.google.com/spreadsheets/d/1XL5vhW3sbDhbH9Cz0tuDiY8C3ctxq1tqvaCgkFb8cCA/edit?usp=sharing"",""หนองบัวลำภู!I509"")"),0)</f>
        <v>0</v>
      </c>
      <c r="J614" s="199">
        <f ca="1">IFERROR(__xludf.DUMMYFUNCTION("IMPORTRANGE(""https://docs.google.com/spreadsheets/d/1XL5vhW3sbDhbH9Cz0tuDiY8C3ctxq1tqvaCgkFb8cCA/edit?usp=sharing"",""หนองบัวลำภู!J509"")"),0)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IFERROR(__xludf.DUMMYFUNCTION("IMPORTRANGE(""https://docs.google.com/spreadsheets/d/1XL5vhW3sbDhbH9Cz0tuDiY8C3ctxq1tqvaCgkFb8cCA/edit?usp=sharing"",""หนองบัวลำภู!I510"")"),0)</f>
        <v>0</v>
      </c>
      <c r="J615" s="199">
        <f ca="1">IFERROR(__xludf.DUMMYFUNCTION("IMPORTRANGE(""https://docs.google.com/spreadsheets/d/1XL5vhW3sbDhbH9Cz0tuDiY8C3ctxq1tqvaCgkFb8cCA/edit?usp=sharing"",""หนองบัวลำภู!J510"")"),0)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IFERROR(__xludf.DUMMYFUNCTION("IMPORTRANGE(""https://docs.google.com/spreadsheets/d/1XL5vhW3sbDhbH9Cz0tuDiY8C3ctxq1tqvaCgkFb8cCA/edit?usp=sharing"",""หนองบัวลำภู!I511"")"),0)</f>
        <v>0</v>
      </c>
      <c r="J616" s="199">
        <f ca="1">IFERROR(__xludf.DUMMYFUNCTION("IMPORTRANGE(""https://docs.google.com/spreadsheets/d/1XL5vhW3sbDhbH9Cz0tuDiY8C3ctxq1tqvaCgkFb8cCA/edit?usp=sharing"",""หนองบัวลำภู!J511"")"),0)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IFERROR(__xludf.DUMMYFUNCTION("IMPORTRANGE(""https://docs.google.com/spreadsheets/d/1XL5vhW3sbDhbH9Cz0tuDiY8C3ctxq1tqvaCgkFb8cCA/edit?usp=sharing"",""หนองบัวลำภู!I512"")"),0)</f>
        <v>0</v>
      </c>
      <c r="J617" s="189">
        <f ca="1">IFERROR(__xludf.DUMMYFUNCTION("IMPORTRANGE(""https://docs.google.com/spreadsheets/d/1XL5vhW3sbDhbH9Cz0tuDiY8C3ctxq1tqvaCgkFb8cCA/edit?usp=sharing"",""หนองบัวลำภู!J512"")"),0)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IFERROR(__xludf.DUMMYFUNCTION("IMPORTRANGE(""https://docs.google.com/spreadsheets/d/1XL5vhW3sbDhbH9Cz0tuDiY8C3ctxq1tqvaCgkFb8cCA/edit?usp=sharing"",""หนองบัวลำภู!I513"")"),0)</f>
        <v>0</v>
      </c>
      <c r="J618" s="190">
        <f ca="1">IFERROR(__xludf.DUMMYFUNCTION("IMPORTRANGE(""https://docs.google.com/spreadsheets/d/1XL5vhW3sbDhbH9Cz0tuDiY8C3ctxq1tqvaCgkFb8cCA/edit?usp=sharing"",""หนองบัวลำภู!J513"")"),0)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IFERROR(__xludf.DUMMYFUNCTION("IMPORTRANGE(""https://docs.google.com/spreadsheets/d/1XL5vhW3sbDhbH9Cz0tuDiY8C3ctxq1tqvaCgkFb8cCA/edit?usp=sharing"",""หนองบัวลำภู!I514"")"),0)</f>
        <v>0</v>
      </c>
      <c r="J619" s="190">
        <f ca="1">IFERROR(__xludf.DUMMYFUNCTION("IMPORTRANGE(""https://docs.google.com/spreadsheets/d/1XL5vhW3sbDhbH9Cz0tuDiY8C3ctxq1tqvaCgkFb8cCA/edit?usp=sharing"",""หนองบัวลำภู!J514"")"),0)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IFERROR(__xludf.DUMMYFUNCTION("IMPORTRANGE(""https://docs.google.com/spreadsheets/d/1XL5vhW3sbDhbH9Cz0tuDiY8C3ctxq1tqvaCgkFb8cCA/edit?usp=sharing"",""หนองบัวลำภู!I515"")"),0)</f>
        <v>0</v>
      </c>
      <c r="J620" s="204">
        <f ca="1">IFERROR(__xludf.DUMMYFUNCTION("IMPORTRANGE(""https://docs.google.com/spreadsheets/d/1XL5vhW3sbDhbH9Cz0tuDiY8C3ctxq1tqvaCgkFb8cCA/edit?usp=sharing"",""หนองบัวลำภู!J515"")"),0)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IFERROR(__xludf.DUMMYFUNCTION("IMPORTRANGE(""https://docs.google.com/spreadsheets/d/1XL5vhW3sbDhbH9Cz0tuDiY8C3ctxq1tqvaCgkFb8cCA/edit?usp=sharing"",""หนองบัวลำภู!I516"")"),0)</f>
        <v>0</v>
      </c>
      <c r="J621" s="204">
        <f ca="1">IFERROR(__xludf.DUMMYFUNCTION("IMPORTRANGE(""https://docs.google.com/spreadsheets/d/1XL5vhW3sbDhbH9Cz0tuDiY8C3ctxq1tqvaCgkFb8cCA/edit?usp=sharing"",""หนองบัวลำภู!J516"")"),0)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IFERROR(__xludf.DUMMYFUNCTION("IMPORTRANGE(""https://docs.google.com/spreadsheets/d/1XL5vhW3sbDhbH9Cz0tuDiY8C3ctxq1tqvaCgkFb8cCA/edit?usp=sharing"",""หนองบัวลำภู!I517"")"),0)</f>
        <v>0</v>
      </c>
      <c r="J622" s="190">
        <f ca="1">IFERROR(__xludf.DUMMYFUNCTION("IMPORTRANGE(""https://docs.google.com/spreadsheets/d/1XL5vhW3sbDhbH9Cz0tuDiY8C3ctxq1tqvaCgkFb8cCA/edit?usp=sharing"",""หนองบัวลำภู!J517"")"),0)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IFERROR(__xludf.DUMMYFUNCTION("IMPORTRANGE(""https://docs.google.com/spreadsheets/d/1XL5vhW3sbDhbH9Cz0tuDiY8C3ctxq1tqvaCgkFb8cCA/edit?usp=sharing"",""หนองบัวลำภู!I518"")"),0)</f>
        <v>0</v>
      </c>
      <c r="J623" s="190">
        <f ca="1">IFERROR(__xludf.DUMMYFUNCTION("IMPORTRANGE(""https://docs.google.com/spreadsheets/d/1XL5vhW3sbDhbH9Cz0tuDiY8C3ctxq1tqvaCgkFb8cCA/edit?usp=sharing"",""หนองบัวลำภู!J518"")"),0)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IFERROR(__xludf.DUMMYFUNCTION("IMPORTRANGE(""https://docs.google.com/spreadsheets/d/1XL5vhW3sbDhbH9Cz0tuDiY8C3ctxq1tqvaCgkFb8cCA/edit?usp=sharing"",""หนองบัวลำภู!I519"")"),0)</f>
        <v>0</v>
      </c>
      <c r="J624" s="189">
        <f ca="1">IFERROR(__xludf.DUMMYFUNCTION("IMPORTRANGE(""https://docs.google.com/spreadsheets/d/1XL5vhW3sbDhbH9Cz0tuDiY8C3ctxq1tqvaCgkFb8cCA/edit?usp=sharing"",""หนองบัวลำภู!J519"")"),0)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IFERROR(__xludf.DUMMYFUNCTION("IMPORTRANGE(""https://docs.google.com/spreadsheets/d/1XL5vhW3sbDhbH9Cz0tuDiY8C3ctxq1tqvaCgkFb8cCA/edit?usp=sharing"",""หนองบัวลำภู!I520"")"),0)</f>
        <v>0</v>
      </c>
      <c r="J625" s="190">
        <f ca="1">IFERROR(__xludf.DUMMYFUNCTION("IMPORTRANGE(""https://docs.google.com/spreadsheets/d/1XL5vhW3sbDhbH9Cz0tuDiY8C3ctxq1tqvaCgkFb8cCA/edit?usp=sharing"",""หนองบัวลำภู!J520"")"),0)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IFERROR(__xludf.DUMMYFUNCTION("IMPORTRANGE(""https://docs.google.com/spreadsheets/d/1XL5vhW3sbDhbH9Cz0tuDiY8C3ctxq1tqvaCgkFb8cCA/edit?usp=sharing"",""หนองบัวลำภู!I521"")"),0)</f>
        <v>0</v>
      </c>
      <c r="J626" s="190">
        <f ca="1">IFERROR(__xludf.DUMMYFUNCTION("IMPORTRANGE(""https://docs.google.com/spreadsheets/d/1XL5vhW3sbDhbH9Cz0tuDiY8C3ctxq1tqvaCgkFb8cCA/edit?usp=sharing"",""หนองบัวลำภู!J521"")"),0)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1">
        <f ca="1">IFERROR(__xludf.DUMMYFUNCTION("IMPORTRANGE(""https://docs.google.com/spreadsheets/d/1XL5vhW3sbDhbH9Cz0tuDiY8C3ctxq1tqvaCgkFb8cCA/edit?usp=sharing"",""หนองบัวลำภู!J523"")"),1130379.75)</f>
        <v>1130379.75</v>
      </c>
      <c r="K628" s="342">
        <f t="shared" ref="K628:K635" ca="1" si="129">IF(I628&gt;0,J628*100/I628,0)</f>
        <v>28.950210748709196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IFERROR(__xludf.DUMMYFUNCTION("IMPORTRANGE(""https://docs.google.com/spreadsheets/d/1XL5vhW3sbDhbH9Cz0tuDiY8C3ctxq1tqvaCgkFb8cCA/edit?usp=sharing"",""หนองบัวลำภู!I524"")"),256)</f>
        <v>256</v>
      </c>
      <c r="J629" s="341">
        <f ca="1">IFERROR(__xludf.DUMMYFUNCTION("IMPORTRANGE(""https://docs.google.com/spreadsheets/d/1XL5vhW3sbDhbH9Cz0tuDiY8C3ctxq1tqvaCgkFb8cCA/edit?usp=sharing"",""หนองบัวลำภู!J524"")"),71)</f>
        <v>71</v>
      </c>
      <c r="K629" s="342">
        <f t="shared" ca="1" si="129"/>
        <v>27.734375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1">
        <f ca="1">IFERROR(__xludf.DUMMYFUNCTION("IMPORTRANGE(""https://docs.google.com/spreadsheets/d/1XL5vhW3sbDhbH9Cz0tuDiY8C3ctxq1tqvaCgkFb8cCA/edit?usp=sharing"",""หนองบัวลำภู!J525"")"),547265.7)</f>
        <v>547265.69999999995</v>
      </c>
      <c r="K630" s="342">
        <f t="shared" ca="1" si="129"/>
        <v>18.999817409094518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IFERROR(__xludf.DUMMYFUNCTION("IMPORTRANGE(""https://docs.google.com/spreadsheets/d/1XL5vhW3sbDhbH9Cz0tuDiY8C3ctxq1tqvaCgkFb8cCA/edit?usp=sharing"",""หนองบัวลำภู!I526"")"),132)</f>
        <v>132</v>
      </c>
      <c r="J631" s="341">
        <f ca="1">IFERROR(__xludf.DUMMYFUNCTION("IMPORTRANGE(""https://docs.google.com/spreadsheets/d/1XL5vhW3sbDhbH9Cz0tuDiY8C3ctxq1tqvaCgkFb8cCA/edit?usp=sharing"",""หนองบัวลำภู!J526"")"),95)</f>
        <v>95</v>
      </c>
      <c r="K631" s="342">
        <f t="shared" ca="1" si="129"/>
        <v>71.969696969696969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IFERROR(__xludf.DUMMYFUNCTION("IMPORTRANGE(""https://docs.google.com/spreadsheets/d/1XL5vhW3sbDhbH9Cz0tuDiY8C3ctxq1tqvaCgkFb8cCA/edit?usp=sharing"",""หนองบัวลำภู!I527"")"),0)</f>
        <v>0</v>
      </c>
      <c r="J632" s="341">
        <f ca="1">IFERROR(__xludf.DUMMYFUNCTION("IMPORTRANGE(""https://docs.google.com/spreadsheets/d/1XL5vhW3sbDhbH9Cz0tuDiY8C3ctxq1tqvaCgkFb8cCA/edit?usp=sharing"",""หนองบัวลำภู!J527"")"),0)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IFERROR(__xludf.DUMMYFUNCTION("IMPORTRANGE(""https://docs.google.com/spreadsheets/d/1XL5vhW3sbDhbH9Cz0tuDiY8C3ctxq1tqvaCgkFb8cCA/edit?usp=sharing"",""หนองบัวลำภู!I528"")"),0)</f>
        <v>0</v>
      </c>
      <c r="J633" s="341">
        <f ca="1">IFERROR(__xludf.DUMMYFUNCTION("IMPORTRANGE(""https://docs.google.com/spreadsheets/d/1XL5vhW3sbDhbH9Cz0tuDiY8C3ctxq1tqvaCgkFb8cCA/edit?usp=sharing"",""หนองบัวลำภู!J528"")"),0)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1">
        <f ca="1">IFERROR(__xludf.DUMMYFUNCTION("IMPORTRANGE(""https://docs.google.com/spreadsheets/d/1XL5vhW3sbDhbH9Cz0tuDiY8C3ctxq1tqvaCgkFb8cCA/edit?usp=sharing"",""หนองบัวลำภู!J529"")"),1820000)</f>
        <v>1820000</v>
      </c>
      <c r="K634" s="342">
        <f t="shared" ca="1" si="129"/>
        <v>91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IFERROR(__xludf.DUMMYFUNCTION("IMPORTRANGE(""https://docs.google.com/spreadsheets/d/1XL5vhW3sbDhbH9Cz0tuDiY8C3ctxq1tqvaCgkFb8cCA/edit?usp=sharing"",""หนองบัวลำภู!I530"")"),67)</f>
        <v>67</v>
      </c>
      <c r="J635" s="504">
        <f ca="1">IFERROR(__xludf.DUMMYFUNCTION("IMPORTRANGE(""https://docs.google.com/spreadsheets/d/1XL5vhW3sbDhbH9Cz0tuDiY8C3ctxq1tqvaCgkFb8cCA/edit?usp=sharing"",""หนองบัวลำภู!J530"")"),50)</f>
        <v>50</v>
      </c>
      <c r="K635" s="486">
        <f t="shared" ca="1" si="129"/>
        <v>74.626865671641795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4117484</v>
      </c>
      <c r="M8" s="23">
        <f t="shared" ca="1" si="0"/>
        <v>1460800</v>
      </c>
      <c r="N8" s="23">
        <f t="shared" ca="1" si="0"/>
        <v>1189243</v>
      </c>
      <c r="O8" s="22">
        <f t="shared" ref="O8:O16" ca="1" si="1">IF(L8&gt;0,N8*100/L8,0)</f>
        <v>28.882759471560789</v>
      </c>
      <c r="P8" s="22">
        <f t="shared" ref="P8:P16" ca="1" si="2">IF(M8&gt;0,N8*100/M8,0)</f>
        <v>81.410391566265062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4117484</v>
      </c>
      <c r="M10" s="30">
        <f t="shared" ca="1" si="4"/>
        <v>1460800</v>
      </c>
      <c r="N10" s="30">
        <f t="shared" ca="1" si="4"/>
        <v>1189243</v>
      </c>
      <c r="O10" s="29">
        <f t="shared" ca="1" si="1"/>
        <v>28.882759471560789</v>
      </c>
      <c r="P10" s="29">
        <f t="shared" ca="1" si="2"/>
        <v>81.410391566265062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4080984</v>
      </c>
      <c r="M12" s="38">
        <f t="shared" ca="1" si="6"/>
        <v>1424300</v>
      </c>
      <c r="N12" s="38">
        <f t="shared" ca="1" si="6"/>
        <v>1152743</v>
      </c>
      <c r="O12" s="38">
        <f t="shared" ca="1" si="1"/>
        <v>28.246692464366436</v>
      </c>
      <c r="P12" s="38">
        <f t="shared" ca="1" si="2"/>
        <v>80.934002667977254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2321984</v>
      </c>
      <c r="M14" s="38">
        <f t="shared" si="8"/>
        <v>0</v>
      </c>
      <c r="N14" s="38">
        <f t="shared" ca="1" si="8"/>
        <v>184945</v>
      </c>
      <c r="O14" s="38">
        <f t="shared" ca="1" si="1"/>
        <v>7.9649558308756649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2716140</v>
      </c>
      <c r="M18" s="23">
        <f t="shared" ca="1" si="11"/>
        <v>1460800</v>
      </c>
      <c r="N18" s="23">
        <f t="shared" ca="1" si="11"/>
        <v>1004298</v>
      </c>
      <c r="O18" s="22">
        <f t="shared" ref="O18:O20" ca="1" si="12">IF(L18&gt;0,N18*100/L18,0)</f>
        <v>36.975192736751417</v>
      </c>
      <c r="P18" s="22">
        <f t="shared" ref="P18:P26" ca="1" si="13">IF(M18&gt;0,N18*100/M18,0)</f>
        <v>68.749863088718513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2716140</v>
      </c>
      <c r="M20" s="30">
        <f t="shared" ca="1" si="15"/>
        <v>1460800</v>
      </c>
      <c r="N20" s="30">
        <f t="shared" ca="1" si="15"/>
        <v>1004298</v>
      </c>
      <c r="O20" s="29">
        <f t="shared" ca="1" si="12"/>
        <v>36.975192736751417</v>
      </c>
      <c r="P20" s="29">
        <f t="shared" ca="1" si="13"/>
        <v>68.749863088718513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2679640</v>
      </c>
      <c r="M22" s="41">
        <f t="shared" ca="1" si="18"/>
        <v>1424300</v>
      </c>
      <c r="N22" s="38">
        <f t="shared" ca="1" si="18"/>
        <v>967798</v>
      </c>
      <c r="O22" s="38">
        <f t="shared" ca="1" si="17"/>
        <v>36.116717170963263</v>
      </c>
      <c r="P22" s="38">
        <f t="shared" ca="1" si="13"/>
        <v>67.949027592501579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920640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1401344</v>
      </c>
      <c r="M28" s="23">
        <f t="shared" si="23"/>
        <v>0</v>
      </c>
      <c r="N28" s="23">
        <f t="shared" ca="1" si="23"/>
        <v>184945</v>
      </c>
      <c r="O28" s="22">
        <f t="shared" ref="O28:O30" ca="1" si="24">IF(L28&gt;0,N28*100/L28,0)</f>
        <v>13.197687362988674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1401344</v>
      </c>
      <c r="M30" s="30">
        <f t="shared" si="27"/>
        <v>0</v>
      </c>
      <c r="N30" s="30">
        <f t="shared" ca="1" si="27"/>
        <v>184945</v>
      </c>
      <c r="O30" s="29">
        <f t="shared" ca="1" si="24"/>
        <v>13.197687362988674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1401344</v>
      </c>
      <c r="M32" s="38">
        <f t="shared" si="30"/>
        <v>0</v>
      </c>
      <c r="N32" s="38">
        <f t="shared" ca="1" si="30"/>
        <v>184945</v>
      </c>
      <c r="O32" s="38">
        <f t="shared" ca="1" si="29"/>
        <v>13.197687362988674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1401344</v>
      </c>
      <c r="M34" s="38">
        <f t="shared" si="32"/>
        <v>0</v>
      </c>
      <c r="N34" s="38">
        <f t="shared" ca="1" si="32"/>
        <v>184945</v>
      </c>
      <c r="O34" s="38">
        <f t="shared" ca="1" si="29"/>
        <v>13.197687362988674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2716140</v>
      </c>
      <c r="M37" s="54">
        <f t="shared" ca="1" si="33"/>
        <v>1460800</v>
      </c>
      <c r="N37" s="54">
        <f t="shared" ca="1" si="33"/>
        <v>1004298</v>
      </c>
      <c r="O37" s="55">
        <f t="shared" ca="1" si="29"/>
        <v>36.975192736751417</v>
      </c>
      <c r="P37" s="55">
        <f t="shared" ca="1" si="25"/>
        <v>68.749863088718513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329500</v>
      </c>
      <c r="N41" s="78">
        <f t="shared" ca="1" si="34"/>
        <v>281110</v>
      </c>
      <c r="O41" s="77">
        <f t="shared" ref="O41:O43" ca="1" si="35">IF(L41&gt;0,N41*100/L41,0)</f>
        <v>42.650584129874069</v>
      </c>
      <c r="P41" s="77">
        <f t="shared" ref="P41:P43" ca="1" si="36">IF(M41&gt;0,N41*100/M41,0)</f>
        <v>85.314112291350526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329500</v>
      </c>
      <c r="N43" s="78">
        <f t="shared" ca="1" si="38"/>
        <v>281110</v>
      </c>
      <c r="O43" s="77">
        <f t="shared" ca="1" si="35"/>
        <v>42.650584129874069</v>
      </c>
      <c r="P43" s="77">
        <f t="shared" ca="1" si="36"/>
        <v>85.314112291350526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533">
        <f ca="1">IFERROR(__xludf.DUMMYFUNCTION("IMPORTRANGE(""https://docs.google.com/spreadsheets/d/1Yj_ptqi66GCucihVvJfMjLAmec39IyEx_6qawtMGysU/edit?usp=sharing"",""สบก!Q55"")"),329500)</f>
        <v>329500</v>
      </c>
      <c r="N45" s="533">
        <f ca="1">IFERROR(__xludf.DUMMYFUNCTION("IMPORTRANGE(""https://docs.google.com/spreadsheets/d/1Yj_ptqi66GCucihVvJfMjLAmec39IyEx_6qawtMGysU/edit?usp=sharing"",""สบก!R55"")"),281110)</f>
        <v>281110</v>
      </c>
      <c r="O45" s="534">
        <f ca="1">IF(L45&gt;0,N45*100/L45,0)</f>
        <v>42.650584129874069</v>
      </c>
      <c r="P45" s="534">
        <f ca="1">IF(M45&gt;0,N45*100/M45,0)</f>
        <v>85.314112291350526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IFERROR(__xludf.DUMMYFUNCTION("IMPORTRANGE(""https://docs.google.com/spreadsheets/d/1Yj_ptqi66GCucihVvJfMjLAmec39IyEx_6qawtMGysU/edit?usp=sharing"",""สบก!M55"")"),659100)</f>
        <v>659100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IFERROR(__xludf.DUMMYFUNCTION("IMPORTRANGE(""https://docs.google.com/spreadsheets/d/1Yj_ptqi66GCucihVvJfMjLAmec39IyEx_6qawtMGysU/edit?usp=sharing"",""สบก!N55"")"),0)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IFERROR(__xludf.DUMMYFUNCTION("IMPORTRANGE(""https://docs.google.com/spreadsheets/d/1Yj_ptqi66GCucihVvJfMjLAmec39IyEx_6qawtMGysU/edit?usp=sharing"",""สบก!O55"")"),0)</f>
        <v>0</v>
      </c>
      <c r="M49" s="536"/>
      <c r="N49" s="533">
        <f ca="1">IFERROR(__xludf.DUMMYFUNCTION("IMPORTRANGE(""https://docs.google.com/spreadsheets/d/1Yj_ptqi66GCucihVvJfMjLAmec39IyEx_6qawtMGysU/edit?usp=sharing"",""สบก!S55"")"),0)</f>
        <v>0</v>
      </c>
      <c r="O49" s="536">
        <f ca="1">IF(L49&gt;0,N49*100/L49,0)</f>
        <v>0</v>
      </c>
      <c r="P49" s="53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241200</v>
      </c>
      <c r="N53" s="121">
        <f t="shared" ca="1" si="39"/>
        <v>171838</v>
      </c>
      <c r="O53" s="120">
        <f t="shared" ref="O53:O55" ca="1" si="40">IF(L53&gt;0,N53*100/L53,0)</f>
        <v>35.621475953565508</v>
      </c>
      <c r="P53" s="120">
        <f t="shared" ref="P53:P55" ca="1" si="41">IF(M53&gt;0,N53*100/M53,0)</f>
        <v>71.242951907131015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241200</v>
      </c>
      <c r="N55" s="121">
        <f t="shared" ca="1" si="43"/>
        <v>171838</v>
      </c>
      <c r="O55" s="120">
        <f t="shared" ca="1" si="40"/>
        <v>35.621475953565508</v>
      </c>
      <c r="P55" s="120">
        <f t="shared" ca="1" si="41"/>
        <v>71.242951907131015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533">
        <f ca="1">IFERROR(__xludf.DUMMYFUNCTION("IMPORTRANGE(""https://docs.google.com/spreadsheets/d/1Yj_ptqi66GCucihVvJfMjLAmec39IyEx_6qawtMGysU/edit?usp=sharing"",""สบก!Z55"")"),241200)</f>
        <v>241200</v>
      </c>
      <c r="N57" s="533">
        <f ca="1">IFERROR(__xludf.DUMMYFUNCTION("IMPORTRANGE(""https://docs.google.com/spreadsheets/d/1Yj_ptqi66GCucihVvJfMjLAmec39IyEx_6qawtMGysU/edit?usp=sharing"",""สบก!AA55"")"),171838)</f>
        <v>171838</v>
      </c>
      <c r="O57" s="534">
        <f ca="1">IF(L57&gt;0,N57*100/L57,0)</f>
        <v>35.621475953565508</v>
      </c>
      <c r="P57" s="534">
        <f ca="1">IF(M57&gt;0,N57*100/M57,0)</f>
        <v>71.242951907131015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IFERROR(__xludf.DUMMYFUNCTION("IMPORTRANGE(""https://docs.google.com/spreadsheets/d/1Yj_ptqi66GCucihVvJfMjLAmec39IyEx_6qawtMGysU/edit?usp=sharing"",""สบก!V55"")"),482400)</f>
        <v>482400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IFERROR(__xludf.DUMMYFUNCTION("IMPORTRANGE(""https://docs.google.com/spreadsheets/d/1Yj_ptqi66GCucihVvJfMjLAmec39IyEx_6qawtMGysU/edit?usp=sharing"",""สบก!W55"")"),0)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IFERROR(__xludf.DUMMYFUNCTION("IMPORTRANGE(""https://docs.google.com/spreadsheets/d/1Yj_ptqi66GCucihVvJfMjLAmec39IyEx_6qawtMGysU/edit?usp=sharing"",""สบก!X55"")"),0)</f>
        <v>0</v>
      </c>
      <c r="M61" s="536"/>
      <c r="N61" s="533">
        <f ca="1">IFERROR(__xludf.DUMMYFUNCTION("IMPORTRANGE(""https://docs.google.com/spreadsheets/d/1Yj_ptqi66GCucihVvJfMjLAmec39IyEx_6qawtMGysU/edit?usp=sharing"",""สบก!AB55"")"),0)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425120</v>
      </c>
      <c r="N66" s="152">
        <f t="shared" ca="1" si="45"/>
        <v>185525</v>
      </c>
      <c r="O66" s="151">
        <f t="shared" ref="O66:O68" ca="1" si="46">IF(L66&gt;0,N66*100/L66,0)</f>
        <v>23.874018787800797</v>
      </c>
      <c r="P66" s="151">
        <f t="shared" ref="P66:P68" ca="1" si="47">IF(M66&gt;0,N66*100/M66,0)</f>
        <v>43.640619119307487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425120</v>
      </c>
      <c r="N68" s="157">
        <f t="shared" ca="1" si="49"/>
        <v>185525</v>
      </c>
      <c r="O68" s="156">
        <f t="shared" ca="1" si="46"/>
        <v>23.874018787800797</v>
      </c>
      <c r="P68" s="156">
        <f t="shared" ca="1" si="47"/>
        <v>43.640619119307487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777100</v>
      </c>
      <c r="M70" s="537">
        <f ca="1">IFERROR(__xludf.DUMMYFUNCTION("IMPORTRANGE(""https://docs.google.com/spreadsheets/d/1Yj_ptqi66GCucihVvJfMjLAmec39IyEx_6qawtMGysU/edit?usp=sharing"",""สบก!AI55"")"),425120)</f>
        <v>425120</v>
      </c>
      <c r="N70" s="538">
        <f ca="1">IFERROR(__xludf.DUMMYFUNCTION("IMPORTRANGE(""https://docs.google.com/spreadsheets/d/1Yj_ptqi66GCucihVvJfMjLAmec39IyEx_6qawtMGysU/edit?usp=sharing"",""สบก!AJ55"")"),185525)</f>
        <v>185525</v>
      </c>
      <c r="O70" s="170">
        <f ca="1">IF(L70&gt;0,N70*100/L70,0)</f>
        <v>23.874018787800797</v>
      </c>
      <c r="P70" s="170">
        <f ca="1">IF(M70&gt;0,N70*100/M70,0)</f>
        <v>43.640619119307487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IFERROR(__xludf.DUMMYFUNCTION("IMPORTRANGE(""https://docs.google.com/spreadsheets/d/1Yj_ptqi66GCucihVvJfMjLAmec39IyEx_6qawtMGysU/edit?usp=sharing"",""สบก!AE55"")"),311500)</f>
        <v>311500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IFERROR(__xludf.DUMMYFUNCTION("IMPORTRANGE(""https://docs.google.com/spreadsheets/d/1Yj_ptqi66GCucihVvJfMjLAmec39IyEx_6qawtMGysU/edit?usp=sharing"",""สบก!AF55"")"),465600)</f>
        <v>465600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IFERROR(__xludf.DUMMYFUNCTION("IMPORTRANGE(""https://docs.google.com/spreadsheets/d/1Yj_ptqi66GCucihVvJfMjLAmec39IyEx_6qawtMGysU/edit?usp=sharing"",""สบก!AG55"")"),0)</f>
        <v>0</v>
      </c>
      <c r="M74" s="536"/>
      <c r="N74" s="533">
        <f ca="1">IFERROR(__xludf.DUMMYFUNCTION("IMPORTRANGE(""https://docs.google.com/spreadsheets/d/1Yj_ptqi66GCucihVvJfMjLAmec39IyEx_6qawtMGysU/edit?usp=sharing"",""สบก!AK55"")"),0)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IFERROR(__xludf.DUMMYFUNCTION("IMPORTRANGE(""https://docs.google.com/spreadsheets/d/1XL5vhW3sbDhbH9Cz0tuDiY8C3ctxq1tqvaCgkFb8cCA/edit?usp=sharing"",""อำนาจเจริญ!J16"")"),0)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IFERROR(__xludf.DUMMYFUNCTION("IMPORTRANGE(""https://docs.google.com/spreadsheets/d/1XL5vhW3sbDhbH9Cz0tuDiY8C3ctxq1tqvaCgkFb8cCA/edit?usp=sharing"",""อำนาจเจริญ!J17"")"),1)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IFERROR(__xludf.DUMMYFUNCTION("IMPORTRANGE(""https://docs.google.com/spreadsheets/d/1XL5vhW3sbDhbH9Cz0tuDiY8C3ctxq1tqvaCgkFb8cCA/edit?usp=sharing"",""อำนาจเจริญ!J18"")"),1)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IFERROR(__xludf.DUMMYFUNCTION("IMPORTRANGE(""https://docs.google.com/spreadsheets/d/1XL5vhW3sbDhbH9Cz0tuDiY8C3ctxq1tqvaCgkFb8cCA/edit?usp=sharing"",""อำนาจเจริญ!J19"")"),1)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IFERROR(__xludf.DUMMYFUNCTION("IMPORTRANGE(""https://docs.google.com/spreadsheets/d/1XL5vhW3sbDhbH9Cz0tuDiY8C3ctxq1tqvaCgkFb8cCA/edit?usp=sharing"",""อำนาจเจริญ!I20"")"),1)</f>
        <v>1</v>
      </c>
      <c r="J80" s="202">
        <f ca="1">IFERROR(__xludf.DUMMYFUNCTION("IMPORTRANGE(""https://docs.google.com/spreadsheets/d/1XL5vhW3sbDhbH9Cz0tuDiY8C3ctxq1tqvaCgkFb8cCA/edit?usp=sharing"",""อำนาจเจริญ!J20"")"),1)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IFERROR(__xludf.DUMMYFUNCTION("IMPORTRANGE(""https://docs.google.com/spreadsheets/d/1XL5vhW3sbDhbH9Cz0tuDiY8C3ctxq1tqvaCgkFb8cCA/edit?usp=sharing"",""อำนาจเจริญ!I21"")"),48)</f>
        <v>48</v>
      </c>
      <c r="J81" s="202">
        <f ca="1">IFERROR(__xludf.DUMMYFUNCTION("IMPORTRANGE(""https://docs.google.com/spreadsheets/d/1XL5vhW3sbDhbH9Cz0tuDiY8C3ctxq1tqvaCgkFb8cCA/edit?usp=sharing"",""อำนาจเจริญ!J21"")"),48)</f>
        <v>48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IFERROR(__xludf.DUMMYFUNCTION("IMPORTRANGE(""https://docs.google.com/spreadsheets/d/1XL5vhW3sbDhbH9Cz0tuDiY8C3ctxq1tqvaCgkFb8cCA/edit?usp=sharing"",""อำนาจเจริญ!I22"")"),0)</f>
        <v>0</v>
      </c>
      <c r="J82" s="205">
        <f ca="1">IFERROR(__xludf.DUMMYFUNCTION("IMPORTRANGE(""https://docs.google.com/spreadsheets/d/1XL5vhW3sbDhbH9Cz0tuDiY8C3ctxq1tqvaCgkFb8cCA/edit?usp=sharing"",""อำนาจเจริญ!J22"")"),0)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IFERROR(__xludf.DUMMYFUNCTION("IMPORTRANGE(""https://docs.google.com/spreadsheets/d/1XL5vhW3sbDhbH9Cz0tuDiY8C3ctxq1tqvaCgkFb8cCA/edit?usp=sharing"",""อำนาจเจริญ!I23"")"),0)</f>
        <v>0</v>
      </c>
      <c r="J83" s="205">
        <f ca="1">IFERROR(__xludf.DUMMYFUNCTION("IMPORTRANGE(""https://docs.google.com/spreadsheets/d/1XL5vhW3sbDhbH9Cz0tuDiY8C3ctxq1tqvaCgkFb8cCA/edit?usp=sharing"",""อำนาจเจริญ!J23"")"),0)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IFERROR(__xludf.DUMMYFUNCTION("IMPORTRANGE(""https://docs.google.com/spreadsheets/d/1XL5vhW3sbDhbH9Cz0tuDiY8C3ctxq1tqvaCgkFb8cCA/edit?usp=sharing"",""อำนาจเจริญ!I24"")"),1)</f>
        <v>1</v>
      </c>
      <c r="J84" s="190">
        <f ca="1">IFERROR(__xludf.DUMMYFUNCTION("IMPORTRANGE(""https://docs.google.com/spreadsheets/d/1XL5vhW3sbDhbH9Cz0tuDiY8C3ctxq1tqvaCgkFb8cCA/edit?usp=sharing"",""อำนาจเจริญ!J24"")"),1)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IFERROR(__xludf.DUMMYFUNCTION("IMPORTRANGE(""https://docs.google.com/spreadsheets/d/1XL5vhW3sbDhbH9Cz0tuDiY8C3ctxq1tqvaCgkFb8cCA/edit?usp=sharing"",""อำนาจเจริญ!I25"")"),48)</f>
        <v>48</v>
      </c>
      <c r="J85" s="190">
        <f ca="1">IFERROR(__xludf.DUMMYFUNCTION("IMPORTRANGE(""https://docs.google.com/spreadsheets/d/1XL5vhW3sbDhbH9Cz0tuDiY8C3ctxq1tqvaCgkFb8cCA/edit?usp=sharing"",""อำนาจเจริญ!J25"")"),48)</f>
        <v>48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IFERROR(__xludf.DUMMYFUNCTION("IMPORTRANGE(""https://docs.google.com/spreadsheets/d/1XL5vhW3sbDhbH9Cz0tuDiY8C3ctxq1tqvaCgkFb8cCA/edit?usp=sharing"",""อำนาจเจริญ!I26"")"),0)</f>
        <v>0</v>
      </c>
      <c r="J86" s="205">
        <f ca="1">IFERROR(__xludf.DUMMYFUNCTION("IMPORTRANGE(""https://docs.google.com/spreadsheets/d/1XL5vhW3sbDhbH9Cz0tuDiY8C3ctxq1tqvaCgkFb8cCA/edit?usp=sharing"",""อำนาจเจริญ!J26"")"),0)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IFERROR(__xludf.DUMMYFUNCTION("IMPORTRANGE(""https://docs.google.com/spreadsheets/d/1XL5vhW3sbDhbH9Cz0tuDiY8C3ctxq1tqvaCgkFb8cCA/edit?usp=sharing"",""อำนาจเจริญ!I27"")"),0)</f>
        <v>0</v>
      </c>
      <c r="J87" s="205">
        <f ca="1">IFERROR(__xludf.DUMMYFUNCTION("IMPORTRANGE(""https://docs.google.com/spreadsheets/d/1XL5vhW3sbDhbH9Cz0tuDiY8C3ctxq1tqvaCgkFb8cCA/edit?usp=sharing"",""อำนาจเจริญ!J27"")"),0)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IFERROR(__xludf.DUMMYFUNCTION("IMPORTRANGE(""https://docs.google.com/spreadsheets/d/1XL5vhW3sbDhbH9Cz0tuDiY8C3ctxq1tqvaCgkFb8cCA/edit?usp=sharing"",""อำนาจเจริญ!I28"")"),0)</f>
        <v>0</v>
      </c>
      <c r="J88" s="205">
        <f ca="1">IFERROR(__xludf.DUMMYFUNCTION("IMPORTRANGE(""https://docs.google.com/spreadsheets/d/1XL5vhW3sbDhbH9Cz0tuDiY8C3ctxq1tqvaCgkFb8cCA/edit?usp=sharing"",""อำนาจเจริญ!J28"")"),0)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IFERROR(__xludf.DUMMYFUNCTION("IMPORTRANGE(""https://docs.google.com/spreadsheets/d/1XL5vhW3sbDhbH9Cz0tuDiY8C3ctxq1tqvaCgkFb8cCA/edit?usp=sharing"",""อำนาจเจริญ!J29"")"),0)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IFERROR(__xludf.DUMMYFUNCTION("IMPORTRANGE(""https://docs.google.com/spreadsheets/d/1Yj_ptqi66GCucihVvJfMjLAmec39IyEx_6qawtMGysU/edit?usp=sharing"",""สบก!AR55"")"),0)</f>
        <v>0</v>
      </c>
      <c r="N98" s="538">
        <f ca="1">IFERROR(__xludf.DUMMYFUNCTION("IMPORTRANGE(""https://docs.google.com/spreadsheets/d/1Yj_ptqi66GCucihVvJfMjLAmec39IyEx_6qawtMGysU/edit?usp=sharing"",""สบก!AS55"")"),0)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IFERROR(__xludf.DUMMYFUNCTION("IMPORTRANGE(""https://docs.google.com/spreadsheets/d/1Yj_ptqi66GCucihVvJfMjLAmec39IyEx_6qawtMGysU/edit?usp=sharing"",""สบก!AN55"")"),0)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IFERROR(__xludf.DUMMYFUNCTION("IMPORTRANGE(""https://docs.google.com/spreadsheets/d/1Yj_ptqi66GCucihVvJfMjLAmec39IyEx_6qawtMGysU/edit?usp=sharing"",""สบก!AO55"")"),0)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IFERROR(__xludf.DUMMYFUNCTION("IMPORTRANGE(""https://docs.google.com/spreadsheets/d/1Yj_ptqi66GCucihVvJfMjLAmec39IyEx_6qawtMGysU/edit?usp=sharing"",""สบก!AP55"")"),0)</f>
        <v>0</v>
      </c>
      <c r="M102" s="536"/>
      <c r="N102" s="533">
        <f ca="1">IFERROR(__xludf.DUMMYFUNCTION("IMPORTRANGE(""https://docs.google.com/spreadsheets/d/1Yj_ptqi66GCucihVvJfMjLAmec39IyEx_6qawtMGysU/edit?usp=sharing"",""สบก!AT55"")"),0)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IFERROR(__xludf.DUMMYFUNCTION("IMPORTRANGE(""https://docs.google.com/spreadsheets/d/1XL5vhW3sbDhbH9Cz0tuDiY8C3ctxq1tqvaCgkFb8cCA/edit?usp=sharing"",""อำนาจเจริญ!I43"")"),0)</f>
        <v>0</v>
      </c>
      <c r="J108" s="205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IFERROR(__xludf.DUMMYFUNCTION("IMPORTRANGE(""https://docs.google.com/spreadsheets/d/1XL5vhW3sbDhbH9Cz0tuDiY8C3ctxq1tqvaCgkFb8cCA/edit?usp=sharing"",""อำนาจเจริญ!I44"")"),0)</f>
        <v>0</v>
      </c>
      <c r="J109" s="205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IFERROR(__xludf.DUMMYFUNCTION("IMPORTRANGE(""https://docs.google.com/spreadsheets/d/1XL5vhW3sbDhbH9Cz0tuDiY8C3ctxq1tqvaCgkFb8cCA/edit?usp=sharing"",""อำนาจเจริญ!I45"")"),0)</f>
        <v>0</v>
      </c>
      <c r="J110" s="205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IFERROR(__xludf.DUMMYFUNCTION("IMPORTRANGE(""https://docs.google.com/spreadsheets/d/1XL5vhW3sbDhbH9Cz0tuDiY8C3ctxq1tqvaCgkFb8cCA/edit?usp=sharing"",""อำนาจเจริญ!I46"")"),0)</f>
        <v>0</v>
      </c>
      <c r="J111" s="205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IFERROR(__xludf.DUMMYFUNCTION("IMPORTRANGE(""https://docs.google.com/spreadsheets/d/1XL5vhW3sbDhbH9Cz0tuDiY8C3ctxq1tqvaCgkFb8cCA/edit?usp=sharing"",""อำนาจเจริญ!I47"")"),0)</f>
        <v>0</v>
      </c>
      <c r="J112" s="205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IFERROR(__xludf.DUMMYFUNCTION("IMPORTRANGE(""https://docs.google.com/spreadsheets/d/1XL5vhW3sbDhbH9Cz0tuDiY8C3ctxq1tqvaCgkFb8cCA/edit?usp=sharing"",""อำนาจเจริญ!I48"")"),0)</f>
        <v>0</v>
      </c>
      <c r="J113" s="205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IFERROR(__xludf.DUMMYFUNCTION("IMPORTRANGE(""https://docs.google.com/spreadsheets/d/1Yj_ptqi66GCucihVvJfMjLAmec39IyEx_6qawtMGysU/edit?usp=sharing"",""สบก!BA55"")"),0)</f>
        <v>0</v>
      </c>
      <c r="N122" s="538">
        <f ca="1">IFERROR(__xludf.DUMMYFUNCTION("IMPORTRANGE(""https://docs.google.com/spreadsheets/d/1Yj_ptqi66GCucihVvJfMjLAmec39IyEx_6qawtMGysU/edit?usp=sharing"",""สบก!BB55"")"),0)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IFERROR(__xludf.DUMMYFUNCTION("IMPORTRANGE(""https://docs.google.com/spreadsheets/d/1Yj_ptqi66GCucihVvJfMjLAmec39IyEx_6qawtMGysU/edit?usp=sharing"",""สบก!AW55"")"),0)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IFERROR(__xludf.DUMMYFUNCTION("IMPORTRANGE(""https://docs.google.com/spreadsheets/d/1Yj_ptqi66GCucihVvJfMjLAmec39IyEx_6qawtMGysU/edit?usp=sharing"",""สบก!AX55"")"),0)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IFERROR(__xludf.DUMMYFUNCTION("IMPORTRANGE(""https://docs.google.com/spreadsheets/d/1Yj_ptqi66GCucihVvJfMjLAmec39IyEx_6qawtMGysU/edit?usp=sharing"",""สบก!AY55"")"),0)</f>
        <v>0</v>
      </c>
      <c r="M126" s="536"/>
      <c r="N126" s="533">
        <f ca="1">IFERROR(__xludf.DUMMYFUNCTION("IMPORTRANGE(""https://docs.google.com/spreadsheets/d/1Yj_ptqi66GCucihVvJfMjLAmec39IyEx_6qawtMGysU/edit?usp=sharing"",""สบก!BC55"")"),0)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273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IFERROR(__xludf.DUMMYFUNCTION("IMPORTRANGE(""https://docs.google.com/spreadsheets/d/1XL5vhW3sbDhbH9Cz0tuDiY8C3ctxq1tqvaCgkFb8cCA/edit?usp=sharing"",""อำนาจเจริญ!I62"")"),0)</f>
        <v>0</v>
      </c>
      <c r="J132" s="205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IFERROR(__xludf.DUMMYFUNCTION("IMPORTRANGE(""https://docs.google.com/spreadsheets/d/1XL5vhW3sbDhbH9Cz0tuDiY8C3ctxq1tqvaCgkFb8cCA/edit?usp=sharing"",""อำนาจเจริญ!I63"")"),0)</f>
        <v>0</v>
      </c>
      <c r="J133" s="205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77100</v>
      </c>
      <c r="M140" s="152">
        <f t="shared" ca="1" si="64"/>
        <v>49750</v>
      </c>
      <c r="N140" s="152">
        <f t="shared" ca="1" si="64"/>
        <v>42500</v>
      </c>
      <c r="O140" s="151">
        <f t="shared" ref="O140:O142" ca="1" si="65">IF(L140&gt;0,N140*100/L140,0)</f>
        <v>55.123216601815827</v>
      </c>
      <c r="P140" s="151">
        <f t="shared" ref="P140:P142" ca="1" si="66">IF(M140&gt;0,N140*100/M140,0)</f>
        <v>85.427135678391963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77100</v>
      </c>
      <c r="M142" s="157">
        <f t="shared" ca="1" si="68"/>
        <v>49750</v>
      </c>
      <c r="N142" s="157">
        <f t="shared" ca="1" si="68"/>
        <v>42500</v>
      </c>
      <c r="O142" s="156">
        <f t="shared" ca="1" si="65"/>
        <v>55.123216601815827</v>
      </c>
      <c r="P142" s="156">
        <f t="shared" ca="1" si="66"/>
        <v>85.427135678391963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77100</v>
      </c>
      <c r="M144" s="537">
        <f ca="1">IFERROR(__xludf.DUMMYFUNCTION("IMPORTRANGE(""https://docs.google.com/spreadsheets/d/1Yj_ptqi66GCucihVvJfMjLAmec39IyEx_6qawtMGysU/edit?usp=sharing"",""สบก!BJ55"")"),49750)</f>
        <v>49750</v>
      </c>
      <c r="N144" s="538">
        <f ca="1">IFERROR(__xludf.DUMMYFUNCTION("IMPORTRANGE(""https://docs.google.com/spreadsheets/d/1Yj_ptqi66GCucihVvJfMjLAmec39IyEx_6qawtMGysU/edit?usp=sharing"",""สบก!BK55"")"),42500)</f>
        <v>42500</v>
      </c>
      <c r="O144" s="170">
        <f ca="1">IF(L144&gt;0,N144*100/L144,0)</f>
        <v>55.123216601815827</v>
      </c>
      <c r="P144" s="170">
        <f ca="1">IF(M144&gt;0,N144*100/M144,0)</f>
        <v>85.427135678391963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IFERROR(__xludf.DUMMYFUNCTION("IMPORTRANGE(""https://docs.google.com/spreadsheets/d/1Yj_ptqi66GCucihVvJfMjLAmec39IyEx_6qawtMGysU/edit?usp=sharing"",""สบก!BF55"")"),0)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IFERROR(__xludf.DUMMYFUNCTION("IMPORTRANGE(""https://docs.google.com/spreadsheets/d/1Yj_ptqi66GCucihVvJfMjLAmec39IyEx_6qawtMGysU/edit?usp=sharing"",""สบก!BG55"")"),77100)</f>
        <v>77100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IFERROR(__xludf.DUMMYFUNCTION("IMPORTRANGE(""https://docs.google.com/spreadsheets/d/1Yj_ptqi66GCucihVvJfMjLAmec39IyEx_6qawtMGysU/edit?usp=sharing"",""สบก!BH55"")"),0)</f>
        <v>0</v>
      </c>
      <c r="M148" s="536"/>
      <c r="N148" s="533">
        <f ca="1">IFERROR(__xludf.DUMMYFUNCTION("IMPORTRANGE(""https://docs.google.com/spreadsheets/d/1Yj_ptqi66GCucihVvJfMjLAmec39IyEx_6qawtMGysU/edit?usp=sharing"",""สบก!BL55"")"),0)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IFERROR(__xludf.DUMMYFUNCTION("IMPORTRANGE(""https://docs.google.com/spreadsheets/d/1XL5vhW3sbDhbH9Cz0tuDiY8C3ctxq1tqvaCgkFb8cCA/edit?usp=sharing"",""อำนาจเจริญ!J79"")"),0)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IFERROR(__xludf.DUMMYFUNCTION("IMPORTRANGE(""https://docs.google.com/spreadsheets/d/1XL5vhW3sbDhbH9Cz0tuDiY8C3ctxq1tqvaCgkFb8cCA/edit?usp=sharing"",""อำนาจเจริญ!J80"")"),1)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IFERROR(__xludf.DUMMYFUNCTION("IMPORTRANGE(""https://docs.google.com/spreadsheets/d/1XL5vhW3sbDhbH9Cz0tuDiY8C3ctxq1tqvaCgkFb8cCA/edit?usp=sharing"",""อำนาจเจริญ!J81"")"),1)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IFERROR(__xludf.DUMMYFUNCTION("IMPORTRANGE(""https://docs.google.com/spreadsheets/d/1XL5vhW3sbDhbH9Cz0tuDiY8C3ctxq1tqvaCgkFb8cCA/edit?usp=sharing"",""อำนาจเจริญ!J82"")"),1)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IFERROR(__xludf.DUMMYFUNCTION("IMPORTRANGE(""https://docs.google.com/spreadsheets/d/1XL5vhW3sbDhbH9Cz0tuDiY8C3ctxq1tqvaCgkFb8cCA/edit?usp=sharing"",""อำนาจเจริญ!I83"")"),4)</f>
        <v>4</v>
      </c>
      <c r="J158" s="190">
        <f ca="1">IFERROR(__xludf.DUMMYFUNCTION("IMPORTRANGE(""https://docs.google.com/spreadsheets/d/1XL5vhW3sbDhbH9Cz0tuDiY8C3ctxq1tqvaCgkFb8cCA/edit?usp=sharing"",""อำนาจเจริญ!J83"")"),2)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IFERROR(__xludf.DUMMYFUNCTION("IMPORTRANGE(""https://docs.google.com/spreadsheets/d/1XL5vhW3sbDhbH9Cz0tuDiY8C3ctxq1tqvaCgkFb8cCA/edit?usp=sharing"",""อำนาจเจริญ!J84"")"),16)</f>
        <v>16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IFERROR(__xludf.DUMMYFUNCTION("IMPORTRANGE(""https://docs.google.com/spreadsheets/d/1XL5vhW3sbDhbH9Cz0tuDiY8C3ctxq1tqvaCgkFb8cCA/edit?usp=sharing"",""อำนาจเจริญ!J85"")"),16)</f>
        <v>16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IFERROR(__xludf.DUMMYFUNCTION("IMPORTRANGE(""https://docs.google.com/spreadsheets/d/1XL5vhW3sbDhbH9Cz0tuDiY8C3ctxq1tqvaCgkFb8cCA/edit?usp=sharing"",""อำนาจเจริญ!J86"")"),0)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IFERROR(__xludf.DUMMYFUNCTION("IMPORTRANGE(""https://docs.google.com/spreadsheets/d/1XL5vhW3sbDhbH9Cz0tuDiY8C3ctxq1tqvaCgkFb8cCA/edit?usp=sharing"",""อำนาจเจริญ!J87"")"),0)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IFERROR(__xludf.DUMMYFUNCTION("IMPORTRANGE(""https://docs.google.com/spreadsheets/d/1XL5vhW3sbDhbH9Cz0tuDiY8C3ctxq1tqvaCgkFb8cCA/edit?usp=sharing"",""อำนาจเจริญ!J88"")"),0)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IFERROR(__xludf.DUMMYFUNCTION("IMPORTRANGE(""https://docs.google.com/spreadsheets/d/1XL5vhW3sbDhbH9Cz0tuDiY8C3ctxq1tqvaCgkFb8cCA/edit?usp=sharing"",""อำนาจเจริญ!I89"")"),2)</f>
        <v>2</v>
      </c>
      <c r="J164" s="284">
        <f ca="1">IFERROR(__xludf.DUMMYFUNCTION("IMPORTRANGE(""https://docs.google.com/spreadsheets/d/1XL5vhW3sbDhbH9Cz0tuDiY8C3ctxq1tqvaCgkFb8cCA/edit?usp=sharing"",""อำนาจเจริญ!J89"")"),2)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IFERROR(__xludf.DUMMYFUNCTION("IMPORTRANGE(""https://docs.google.com/spreadsheets/d/1XL5vhW3sbDhbH9Cz0tuDiY8C3ctxq1tqvaCgkFb8cCA/edit?usp=sharing"",""อำนาจเจริญ!J94"")"),0)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IFERROR(__xludf.DUMMYFUNCTION("IMPORTRANGE(""https://docs.google.com/spreadsheets/d/1XL5vhW3sbDhbH9Cz0tuDiY8C3ctxq1tqvaCgkFb8cCA/edit?usp=sharing"",""อำนาจเจริญ!J95"")"),1)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IFERROR(__xludf.DUMMYFUNCTION("IMPORTRANGE(""https://docs.google.com/spreadsheets/d/1XL5vhW3sbDhbH9Cz0tuDiY8C3ctxq1tqvaCgkFb8cCA/edit?usp=sharing"",""อำนาจเจริญ!J96"")"),1)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IFERROR(__xludf.DUMMYFUNCTION("IMPORTRANGE(""https://docs.google.com/spreadsheets/d/1XL5vhW3sbDhbH9Cz0tuDiY8C3ctxq1tqvaCgkFb8cCA/edit?usp=sharing"",""อำนาจเจริญ!J97"")"),1)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IFERROR(__xludf.DUMMYFUNCTION("IMPORTRANGE(""https://docs.google.com/spreadsheets/d/1XL5vhW3sbDhbH9Cz0tuDiY8C3ctxq1tqvaCgkFb8cCA/edit?usp=sharing"",""อำนาจเจริญ!I98"")"),2)</f>
        <v>2</v>
      </c>
      <c r="J173" s="190">
        <f ca="1">IFERROR(__xludf.DUMMYFUNCTION("IMPORTRANGE(""https://docs.google.com/spreadsheets/d/1XL5vhW3sbDhbH9Cz0tuDiY8C3ctxq1tqvaCgkFb8cCA/edit?usp=sharing"",""อำนาจเจริญ!J98"")"),2)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IFERROR(__xludf.DUMMYFUNCTION("IMPORTRANGE(""https://docs.google.com/spreadsheets/d/1XL5vhW3sbDhbH9Cz0tuDiY8C3ctxq1tqvaCgkFb8cCA/edit?usp=sharing"",""อำนาจเจริญ!J99"")"),0)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IFERROR(__xludf.DUMMYFUNCTION("IMPORTRANGE(""https://docs.google.com/spreadsheets/d/1XL5vhW3sbDhbH9Cz0tuDiY8C3ctxq1tqvaCgkFb8cCA/edit?usp=sharing"",""อำนาจเจริญ!J100"")"),0)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IFERROR(__xludf.DUMMYFUNCTION("IMPORTRANGE(""https://docs.google.com/spreadsheets/d/1XL5vhW3sbDhbH9Cz0tuDiY8C3ctxq1tqvaCgkFb8cCA/edit?usp=sharing"",""อำนาจเจริญ!I101"")"),1)</f>
        <v>1</v>
      </c>
      <c r="J176" s="284">
        <f ca="1">IFERROR(__xludf.DUMMYFUNCTION("IMPORTRANGE(""https://docs.google.com/spreadsheets/d/1XL5vhW3sbDhbH9Cz0tuDiY8C3ctxq1tqvaCgkFb8cCA/edit?usp=sharing"",""อำนาจเจริญ!J101"")"),1)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IFERROR(__xludf.DUMMYFUNCTION("IMPORTRANGE(""https://docs.google.com/spreadsheets/d/1XL5vhW3sbDhbH9Cz0tuDiY8C3ctxq1tqvaCgkFb8cCA/edit?usp=sharing"",""อำนาจเจริญ!J107"")"),1)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IFERROR(__xludf.DUMMYFUNCTION("IMPORTRANGE(""https://docs.google.com/spreadsheets/d/1XL5vhW3sbDhbH9Cz0tuDiY8C3ctxq1tqvaCgkFb8cCA/edit?usp=sharing"",""อำนาจเจริญ!J108"")"),1)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IFERROR(__xludf.DUMMYFUNCTION("IMPORTRANGE(""https://docs.google.com/spreadsheets/d/1XL5vhW3sbDhbH9Cz0tuDiY8C3ctxq1tqvaCgkFb8cCA/edit?usp=sharing"",""อำนาจเจริญ!J109"")"),1)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IFERROR(__xludf.DUMMYFUNCTION("IMPORTRANGE(""https://docs.google.com/spreadsheets/d/1XL5vhW3sbDhbH9Cz0tuDiY8C3ctxq1tqvaCgkFb8cCA/edit?usp=sharing"",""อำนาจเจริญ!I110"")"),1)</f>
        <v>1</v>
      </c>
      <c r="J185" s="205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IFERROR(__xludf.DUMMYFUNCTION("IMPORTRANGE(""https://docs.google.com/spreadsheets/d/1XL5vhW3sbDhbH9Cz0tuDiY8C3ctxq1tqvaCgkFb8cCA/edit?usp=sharing"",""อำนาจเจริญ!I111"")"),1)</f>
        <v>1</v>
      </c>
      <c r="J186" s="205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IFERROR(__xludf.DUMMYFUNCTION("IMPORTRANGE(""https://docs.google.com/spreadsheets/d/1XL5vhW3sbDhbH9Cz0tuDiY8C3ctxq1tqvaCgkFb8cCA/edit?usp=sharing"",""อำนาจเจริญ!J112"")"),0)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IFERROR(__xludf.DUMMYFUNCTION("IMPORTRANGE(""https://docs.google.com/spreadsheets/d/1XL5vhW3sbDhbH9Cz0tuDiY8C3ctxq1tqvaCgkFb8cCA/edit?usp=sharing"",""อำนาจเจริญ!J113"")"),0)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IFERROR(__xludf.DUMMYFUNCTION("IMPORTRANGE(""https://docs.google.com/spreadsheets/d/1XL5vhW3sbDhbH9Cz0tuDiY8C3ctxq1tqvaCgkFb8cCA/edit?usp=sharing"",""อำนาจเจริญ!I114"")"),64000)</f>
        <v>64000</v>
      </c>
      <c r="J189" s="284">
        <f ca="1">IFERROR(__xludf.DUMMYFUNCTION("IMPORTRANGE(""https://docs.google.com/spreadsheets/d/1XL5vhW3sbDhbH9Cz0tuDiY8C3ctxq1tqvaCgkFb8cCA/edit?usp=sharing"",""อำนาจเจริญ!J114"")"),0)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IFERROR(__xludf.DUMMYFUNCTION("IMPORTRANGE(""https://docs.google.com/spreadsheets/d/1XL5vhW3sbDhbH9Cz0tuDiY8C3ctxq1tqvaCgkFb8cCA/edit?usp=sharing"",""อำนาจเจริญ!J119"")"),0)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IFERROR(__xludf.DUMMYFUNCTION("IMPORTRANGE(""https://docs.google.com/spreadsheets/d/1XL5vhW3sbDhbH9Cz0tuDiY8C3ctxq1tqvaCgkFb8cCA/edit?usp=sharing"",""อำนาจเจริญ!J120"")"),1)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IFERROR(__xludf.DUMMYFUNCTION("IMPORTRANGE(""https://docs.google.com/spreadsheets/d/1XL5vhW3sbDhbH9Cz0tuDiY8C3ctxq1tqvaCgkFb8cCA/edit?usp=sharing"",""อำนาจเจริญ!J121"")"),1)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IFERROR(__xludf.DUMMYFUNCTION("IMPORTRANGE(""https://docs.google.com/spreadsheets/d/1XL5vhW3sbDhbH9Cz0tuDiY8C3ctxq1tqvaCgkFb8cCA/edit?usp=sharing"",""อำนาจเจริญ!J122"")"),1)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IFERROR(__xludf.DUMMYFUNCTION("IMPORTRANGE(""https://docs.google.com/spreadsheets/d/1XL5vhW3sbDhbH9Cz0tuDiY8C3ctxq1tqvaCgkFb8cCA/edit?usp=sharing"",""อำนาจเจริญ!I124"")"),64000)</f>
        <v>64000</v>
      </c>
      <c r="J199" s="190">
        <f ca="1">IFERROR(__xludf.DUMMYFUNCTION("IMPORTRANGE(""https://docs.google.com/spreadsheets/d/1XL5vhW3sbDhbH9Cz0tuDiY8C3ctxq1tqvaCgkFb8cCA/edit?usp=sharing"",""อำนาจเจริญ!J124"")"),0)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IFERROR(__xludf.DUMMYFUNCTION("IMPORTRANGE(""https://docs.google.com/spreadsheets/d/1XL5vhW3sbDhbH9Cz0tuDiY8C3ctxq1tqvaCgkFb8cCA/edit?usp=sharing"",""อำนาจเจริญ!I125"")"),64000)</f>
        <v>64000</v>
      </c>
      <c r="J200" s="190">
        <f ca="1">IFERROR(__xludf.DUMMYFUNCTION("IMPORTRANGE(""https://docs.google.com/spreadsheets/d/1XL5vhW3sbDhbH9Cz0tuDiY8C3ctxq1tqvaCgkFb8cCA/edit?usp=sharing"",""อำนาจเจริญ!J125"")"),0)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IFERROR(__xludf.DUMMYFUNCTION("IMPORTRANGE(""https://docs.google.com/spreadsheets/d/1XL5vhW3sbDhbH9Cz0tuDiY8C3ctxq1tqvaCgkFb8cCA/edit?usp=sharing"",""อำนาจเจริญ!I126"")"),0)</f>
        <v>0</v>
      </c>
      <c r="J201" s="190">
        <f ca="1">IFERROR(__xludf.DUMMYFUNCTION("IMPORTRANGE(""https://docs.google.com/spreadsheets/d/1XL5vhW3sbDhbH9Cz0tuDiY8C3ctxq1tqvaCgkFb8cCA/edit?usp=sharing"",""อำนาจเจริญ!J126"")"),0)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IFERROR(__xludf.DUMMYFUNCTION("IMPORTRANGE(""https://docs.google.com/spreadsheets/d/1XL5vhW3sbDhbH9Cz0tuDiY8C3ctxq1tqvaCgkFb8cCA/edit?usp=sharing"",""อำนาจเจริญ!J127"")"),0)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IFERROR(__xludf.DUMMYFUNCTION("IMPORTRANGE(""https://docs.google.com/spreadsheets/d/1XL5vhW3sbDhbH9Cz0tuDiY8C3ctxq1tqvaCgkFb8cCA/edit?usp=sharing"",""อำนาจเจริญ!J128"")"),0)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IFERROR(__xludf.DUMMYFUNCTION("IMPORTRANGE(""https://docs.google.com/spreadsheets/d/1XL5vhW3sbDhbH9Cz0tuDiY8C3ctxq1tqvaCgkFb8cCA/edit?usp=sharing"",""อำนาจเจริญ!I129"")"),0)</f>
        <v>0</v>
      </c>
      <c r="J204" s="284">
        <f ca="1">IFERROR(__xludf.DUMMYFUNCTION("IMPORTRANGE(""https://docs.google.com/spreadsheets/d/1XL5vhW3sbDhbH9Cz0tuDiY8C3ctxq1tqvaCgkFb8cCA/edit?usp=sharing"",""อำนาจเจริญ!J129"")"),0)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IFERROR(__xludf.DUMMYFUNCTION("IMPORTRANGE(""https://docs.google.com/spreadsheets/d/1XL5vhW3sbDhbH9Cz0tuDiY8C3ctxq1tqvaCgkFb8cCA/edit?usp=sharing"",""อำนาจเจริญ!I138"")"),0)</f>
        <v>0</v>
      </c>
      <c r="J213" s="205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IFERROR(__xludf.DUMMYFUNCTION("IMPORTRANGE(""https://docs.google.com/spreadsheets/d/1XL5vhW3sbDhbH9Cz0tuDiY8C3ctxq1tqvaCgkFb8cCA/edit?usp=sharing"",""อำนาจเจริญ!I140"")"),0)</f>
        <v>0</v>
      </c>
      <c r="J215" s="205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IFERROR(__xludf.DUMMYFUNCTION("IMPORTRANGE(""https://docs.google.com/spreadsheets/d/1XL5vhW3sbDhbH9Cz0tuDiY8C3ctxq1tqvaCgkFb8cCA/edit?usp=sharing"",""อำนาจเจริญ!I141"")"),0)</f>
        <v>0</v>
      </c>
      <c r="J216" s="205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IFERROR(__xludf.DUMMYFUNCTION("IMPORTRANGE(""https://docs.google.com/spreadsheets/d/1Yj_ptqi66GCucihVvJfMjLAmec39IyEx_6qawtMGysU/edit?usp=sharing"",""สบก!BS55"")"),20210)</f>
        <v>20210</v>
      </c>
      <c r="N224" s="538">
        <f ca="1">IFERROR(__xludf.DUMMYFUNCTION("IMPORTRANGE(""https://docs.google.com/spreadsheets/d/1Yj_ptqi66GCucihVvJfMjLAmec39IyEx_6qawtMGysU/edit?usp=sharing"",""สบก!BT55"")"),20210)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IFERROR(__xludf.DUMMYFUNCTION("IMPORTRANGE(""https://docs.google.com/spreadsheets/d/1Yj_ptqi66GCucihVvJfMjLAmec39IyEx_6qawtMGysU/edit?usp=sharing"",""สบก!BO55"")"),0)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IFERROR(__xludf.DUMMYFUNCTION("IMPORTRANGE(""https://docs.google.com/spreadsheets/d/1Yj_ptqi66GCucihVvJfMjLAmec39IyEx_6qawtMGysU/edit?usp=sharing"",""สบก!BP55"")"),20210)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IFERROR(__xludf.DUMMYFUNCTION("IMPORTRANGE(""https://docs.google.com/spreadsheets/d/1Yj_ptqi66GCucihVvJfMjLAmec39IyEx_6qawtMGysU/edit?usp=sharing"",""สบก!BQ55"")"),0)</f>
        <v>0</v>
      </c>
      <c r="M228" s="536"/>
      <c r="N228" s="533">
        <f ca="1">IFERROR(__xludf.DUMMYFUNCTION("IMPORTRANGE(""https://docs.google.com/spreadsheets/d/1Yj_ptqi66GCucihVvJfMjLAmec39IyEx_6qawtMGysU/edit?usp=sharing"",""สบก!BU55"")"),0)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IFERROR(__xludf.DUMMYFUNCTION("IMPORTRANGE(""https://docs.google.com/spreadsheets/d/1XL5vhW3sbDhbH9Cz0tuDiY8C3ctxq1tqvaCgkFb8cCA/edit?usp=sharing"",""อำนาจเจริญ!J151"")"),0)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IFERROR(__xludf.DUMMYFUNCTION("IMPORTRANGE(""https://docs.google.com/spreadsheets/d/1XL5vhW3sbDhbH9Cz0tuDiY8C3ctxq1tqvaCgkFb8cCA/edit?usp=sharing"",""อำนาจเจริญ!J152"")"),1)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IFERROR(__xludf.DUMMYFUNCTION("IMPORTRANGE(""https://docs.google.com/spreadsheets/d/1XL5vhW3sbDhbH9Cz0tuDiY8C3ctxq1tqvaCgkFb8cCA/edit?usp=sharing"",""อำนาจเจริญ!J153"")"),1)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IFERROR(__xludf.DUMMYFUNCTION("IMPORTRANGE(""https://docs.google.com/spreadsheets/d/1XL5vhW3sbDhbH9Cz0tuDiY8C3ctxq1tqvaCgkFb8cCA/edit?usp=sharing"",""อำนาจเจริญ!J154"")"),1)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IFERROR(__xludf.DUMMYFUNCTION("IMPORTRANGE(""https://docs.google.com/spreadsheets/d/1XL5vhW3sbDhbH9Cz0tuDiY8C3ctxq1tqvaCgkFb8cCA/edit?usp=sharing"",""อำนาจเจริญ!I155"")"),14)</f>
        <v>14</v>
      </c>
      <c r="J235" s="190">
        <f ca="1">IFERROR(__xludf.DUMMYFUNCTION("IMPORTRANGE(""https://docs.google.com/spreadsheets/d/1XL5vhW3sbDhbH9Cz0tuDiY8C3ctxq1tqvaCgkFb8cCA/edit?usp=sharing"",""อำนาจเจริญ!J155"")"),14)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IFERROR(__xludf.DUMMYFUNCTION("IMPORTRANGE(""https://docs.google.com/spreadsheets/d/1XL5vhW3sbDhbH9Cz0tuDiY8C3ctxq1tqvaCgkFb8cCA/edit?usp=sharing"",""อำนาจเจริญ!J156"")"),0)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IFERROR(__xludf.DUMMYFUNCTION("IMPORTRANGE(""https://docs.google.com/spreadsheets/d/1XL5vhW3sbDhbH9Cz0tuDiY8C3ctxq1tqvaCgkFb8cCA/edit?usp=sharing"",""อำนาจเจริญ!J157"")"),0)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IFERROR(__xludf.DUMMYFUNCTION("IMPORTRANGE(""https://docs.google.com/spreadsheets/d/1XL5vhW3sbDhbH9Cz0tuDiY8C3ctxq1tqvaCgkFb8cCA/edit?usp=sharing"",""อำนาจเจริญ!J159"")"),"")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IFERROR(__xludf.DUMMYFUNCTION("IMPORTRANGE(""https://docs.google.com/spreadsheets/d/1XL5vhW3sbDhbH9Cz0tuDiY8C3ctxq1tqvaCgkFb8cCA/edit?usp=sharing"",""อำนาจเจริญ!J161"")"),0)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IFERROR(__xludf.DUMMYFUNCTION("IMPORTRANGE(""https://docs.google.com/spreadsheets/d/1XL5vhW3sbDhbH9Cz0tuDiY8C3ctxq1tqvaCgkFb8cCA/edit?usp=sharing"",""อำนาจเจริญ!J162"")"),0)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IFERROR(__xludf.DUMMYFUNCTION("IMPORTRANGE(""https://docs.google.com/spreadsheets/d/1XL5vhW3sbDhbH9Cz0tuDiY8C3ctxq1tqvaCgkFb8cCA/edit?usp=sharing"",""อำนาจเจริญ!J163"")"),0)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IFERROR(__xludf.DUMMYFUNCTION("IMPORTRANGE(""https://docs.google.com/spreadsheets/d/1XL5vhW3sbDhbH9Cz0tuDiY8C3ctxq1tqvaCgkFb8cCA/edit?usp=sharing"",""อำนาจเจริญ!I164"")"),0)</f>
        <v>0</v>
      </c>
      <c r="J244" s="189">
        <f ca="1">IFERROR(__xludf.DUMMYFUNCTION("IMPORTRANGE(""https://docs.google.com/spreadsheets/d/1XL5vhW3sbDhbH9Cz0tuDiY8C3ctxq1tqvaCgkFb8cCA/edit?usp=sharing"",""อำนาจเจริญ!J164"")"),0)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IFERROR(__xludf.DUMMYFUNCTION("IMPORTRANGE(""https://docs.google.com/spreadsheets/d/1XL5vhW3sbDhbH9Cz0tuDiY8C3ctxq1tqvaCgkFb8cCA/edit?usp=sharing"",""อำนาจเจริญ!J165"")"),0)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IFERROR(__xludf.DUMMYFUNCTION("IMPORTRANGE(""https://docs.google.com/spreadsheets/d/1XL5vhW3sbDhbH9Cz0tuDiY8C3ctxq1tqvaCgkFb8cCA/edit?usp=sharing"",""อำนาจเจริญ!I169"")"),0)</f>
        <v>0</v>
      </c>
      <c r="J249" s="316">
        <f ca="1">IFERROR(__xludf.DUMMYFUNCTION("IMPORTRANGE(""https://docs.google.com/spreadsheets/d/1XL5vhW3sbDhbH9Cz0tuDiY8C3ctxq1tqvaCgkFb8cCA/edit?usp=sharing"",""อำนาจเจริญ!J169"")"),0)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IFERROR(__xludf.DUMMYFUNCTION("IMPORTRANGE(""https://docs.google.com/spreadsheets/d/1Yj_ptqi66GCucihVvJfMjLAmec39IyEx_6qawtMGysU/edit?usp=sharing"",""สบก!CB55"")"),0)</f>
        <v>0</v>
      </c>
      <c r="N254" s="538">
        <f ca="1">IFERROR(__xludf.DUMMYFUNCTION("IMPORTRANGE(""https://docs.google.com/spreadsheets/d/1Yj_ptqi66GCucihVvJfMjLAmec39IyEx_6qawtMGysU/edit?usp=sharing"",""สบก!CC55"")"),0)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IFERROR(__xludf.DUMMYFUNCTION("IMPORTRANGE(""https://docs.google.com/spreadsheets/d/1Yj_ptqi66GCucihVvJfMjLAmec39IyEx_6qawtMGysU/edit?usp=sharing"",""สบก!BX55"")"),0)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IFERROR(__xludf.DUMMYFUNCTION("IMPORTRANGE(""https://docs.google.com/spreadsheets/d/1Yj_ptqi66GCucihVvJfMjLAmec39IyEx_6qawtMGysU/edit?usp=sharing"",""สบก!BY55"")"),0)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IFERROR(__xludf.DUMMYFUNCTION("IMPORTRANGE(""https://docs.google.com/spreadsheets/d/1Yj_ptqi66GCucihVvJfMjLAmec39IyEx_6qawtMGysU/edit?usp=sharing"",""สบก!BZ55"")"),0)</f>
        <v>0</v>
      </c>
      <c r="M258" s="536"/>
      <c r="N258" s="533">
        <f ca="1">IFERROR(__xludf.DUMMYFUNCTION("IMPORTRANGE(""https://docs.google.com/spreadsheets/d/1Yj_ptqi66GCucihVvJfMjLAmec39IyEx_6qawtMGysU/edit?usp=sharing"",""สบก!CD55"")"),0)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IFERROR(__xludf.DUMMYFUNCTION("IMPORTRANGE(""https://docs.google.com/spreadsheets/d/1XL5vhW3sbDhbH9Cz0tuDiY8C3ctxq1tqvaCgkFb8cCA/edit?usp=sharing"",""อำนาจเจริญ!J175"")"),0)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IFERROR(__xludf.DUMMYFUNCTION("IMPORTRANGE(""https://docs.google.com/spreadsheets/d/1XL5vhW3sbDhbH9Cz0tuDiY8C3ctxq1tqvaCgkFb8cCA/edit?usp=sharing"",""อำนาจเจริญ!J176"")"),0)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IFERROR(__xludf.DUMMYFUNCTION("IMPORTRANGE(""https://docs.google.com/spreadsheets/d/1XL5vhW3sbDhbH9Cz0tuDiY8C3ctxq1tqvaCgkFb8cCA/edit?usp=sharing"",""อำนาจเจริญ!J177"")"),0)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IFERROR(__xludf.DUMMYFUNCTION("IMPORTRANGE(""https://docs.google.com/spreadsheets/d/1XL5vhW3sbDhbH9Cz0tuDiY8C3ctxq1tqvaCgkFb8cCA/edit?usp=sharing"",""อำนาจเจริญ!J178"")"),0)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IFERROR(__xludf.DUMMYFUNCTION("IMPORTRANGE(""https://docs.google.com/spreadsheets/d/1XL5vhW3sbDhbH9Cz0tuDiY8C3ctxq1tqvaCgkFb8cCA/edit?usp=sharing"",""อำนาจเจริญ!I179"")"),0)</f>
        <v>0</v>
      </c>
      <c r="J264" s="190">
        <f ca="1">IFERROR(__xludf.DUMMYFUNCTION("IMPORTRANGE(""https://docs.google.com/spreadsheets/d/1XL5vhW3sbDhbH9Cz0tuDiY8C3ctxq1tqvaCgkFb8cCA/edit?usp=sharing"",""อำนาจเจริญ!J179"")"),0)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IFERROR(__xludf.DUMMYFUNCTION("IMPORTRANGE(""https://docs.google.com/spreadsheets/d/1XL5vhW3sbDhbH9Cz0tuDiY8C3ctxq1tqvaCgkFb8cCA/edit?usp=sharing"",""อำนาจเจริญ!I180"")"),0)</f>
        <v>0</v>
      </c>
      <c r="J265" s="190">
        <f ca="1">IFERROR(__xludf.DUMMYFUNCTION("IMPORTRANGE(""https://docs.google.com/spreadsheets/d/1XL5vhW3sbDhbH9Cz0tuDiY8C3ctxq1tqvaCgkFb8cCA/edit?usp=sharing"",""อำนาจเจริญ!J180"")"),0)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IFERROR(__xludf.DUMMYFUNCTION("IMPORTRANGE(""https://docs.google.com/spreadsheets/d/1XL5vhW3sbDhbH9Cz0tuDiY8C3ctxq1tqvaCgkFb8cCA/edit?usp=sharing"",""อำนาจเจริญ!I181"")"),0)</f>
        <v>0</v>
      </c>
      <c r="J266" s="190">
        <f ca="1">IFERROR(__xludf.DUMMYFUNCTION("IMPORTRANGE(""https://docs.google.com/spreadsheets/d/1XL5vhW3sbDhbH9Cz0tuDiY8C3ctxq1tqvaCgkFb8cCA/edit?usp=sharing"",""อำนาจเจริญ!J181"")"),0)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IFERROR(__xludf.DUMMYFUNCTION("IMPORTRANGE(""https://docs.google.com/spreadsheets/d/1XL5vhW3sbDhbH9Cz0tuDiY8C3ctxq1tqvaCgkFb8cCA/edit?usp=sharing"",""อำนาจเจริญ!I182"")"),0)</f>
        <v>0</v>
      </c>
      <c r="J267" s="190">
        <f ca="1">IFERROR(__xludf.DUMMYFUNCTION("IMPORTRANGE(""https://docs.google.com/spreadsheets/d/1XL5vhW3sbDhbH9Cz0tuDiY8C3ctxq1tqvaCgkFb8cCA/edit?usp=sharing"",""อำนาจเจริญ!J182"")"),0)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IFERROR(__xludf.DUMMYFUNCTION("IMPORTRANGE(""https://docs.google.com/spreadsheets/d/1XL5vhW3sbDhbH9Cz0tuDiY8C3ctxq1tqvaCgkFb8cCA/edit?usp=sharing"",""อำนาจเจริญ!J183"")"),0)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IFERROR(__xludf.DUMMYFUNCTION("IMPORTRANGE(""https://docs.google.com/spreadsheets/d/1XL5vhW3sbDhbH9Cz0tuDiY8C3ctxq1tqvaCgkFb8cCA/edit?usp=sharing"",""อำนาจเจริญ!J184"")"),0)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IFERROR(__xludf.DUMMYFUNCTION("IMPORTRANGE(""https://docs.google.com/spreadsheets/d/1XL5vhW3sbDhbH9Cz0tuDiY8C3ctxq1tqvaCgkFb8cCA/edit?usp=sharing"",""อำนาจเจริญ!I185"")"),15)</f>
        <v>15</v>
      </c>
      <c r="J270" s="316">
        <f ca="1">IFERROR(__xludf.DUMMYFUNCTION("IMPORTRANGE(""https://docs.google.com/spreadsheets/d/1XL5vhW3sbDhbH9Cz0tuDiY8C3ctxq1tqvaCgkFb8cCA/edit?usp=sharing"",""อำนาจเจริญ!J185"")"),0)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11410</v>
      </c>
      <c r="O271" s="151">
        <f t="shared" ref="O271:O273" ca="1" si="84">IF(L271&gt;0,N271*100/L271,0)</f>
        <v>20.670289855072465</v>
      </c>
      <c r="P271" s="151">
        <f t="shared" ref="P271:P273" ca="1" si="85">IF(M271&gt;0,N271*100/M271,0)</f>
        <v>35.379844961240309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11410</v>
      </c>
      <c r="O273" s="156">
        <f t="shared" ca="1" si="84"/>
        <v>20.670289855072465</v>
      </c>
      <c r="P273" s="156">
        <f t="shared" ca="1" si="85"/>
        <v>35.379844961240309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IFERROR(__xludf.DUMMYFUNCTION("IMPORTRANGE(""https://docs.google.com/spreadsheets/d/1Yj_ptqi66GCucihVvJfMjLAmec39IyEx_6qawtMGysU/edit?usp=sharing"",""สบก!CK55"")"),32250)</f>
        <v>32250</v>
      </c>
      <c r="N275" s="538">
        <f ca="1">IFERROR(__xludf.DUMMYFUNCTION("IMPORTRANGE(""https://docs.google.com/spreadsheets/d/1Yj_ptqi66GCucihVvJfMjLAmec39IyEx_6qawtMGysU/edit?usp=sharing"",""สบก!CL55"")"),11410)</f>
        <v>11410</v>
      </c>
      <c r="O275" s="170">
        <f ca="1">IF(L275&gt;0,N275*100/L275,0)</f>
        <v>20.670289855072465</v>
      </c>
      <c r="P275" s="170">
        <f ca="1">IF(M275&gt;0,N275*100/M275,0)</f>
        <v>35.379844961240309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IFERROR(__xludf.DUMMYFUNCTION("IMPORTRANGE(""https://docs.google.com/spreadsheets/d/1Yj_ptqi66GCucihVvJfMjLAmec39IyEx_6qawtMGysU/edit?usp=sharing"",""สบก!CG55"")"),0)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IFERROR(__xludf.DUMMYFUNCTION("IMPORTRANGE(""https://docs.google.com/spreadsheets/d/1Yj_ptqi66GCucihVvJfMjLAmec39IyEx_6qawtMGysU/edit?usp=sharing"",""สบก!CH55"")"),55200)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IFERROR(__xludf.DUMMYFUNCTION("IMPORTRANGE(""https://docs.google.com/spreadsheets/d/1Yj_ptqi66GCucihVvJfMjLAmec39IyEx_6qawtMGysU/edit?usp=sharing"",""สบก!CI55"")"),0)</f>
        <v>0</v>
      </c>
      <c r="M279" s="536"/>
      <c r="N279" s="533">
        <f ca="1">IFERROR(__xludf.DUMMYFUNCTION("IMPORTRANGE(""https://docs.google.com/spreadsheets/d/1Yj_ptqi66GCucihVvJfMjLAmec39IyEx_6qawtMGysU/edit?usp=sharing"",""สบก!CM55"")"),0)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IFERROR(__xludf.DUMMYFUNCTION("IMPORTRANGE(""https://docs.google.com/spreadsheets/d/1XL5vhW3sbDhbH9Cz0tuDiY8C3ctxq1tqvaCgkFb8cCA/edit?usp=sharing"",""อำนาจเจริญ!J191"")"),0)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IFERROR(__xludf.DUMMYFUNCTION("IMPORTRANGE(""https://docs.google.com/spreadsheets/d/1XL5vhW3sbDhbH9Cz0tuDiY8C3ctxq1tqvaCgkFb8cCA/edit?usp=sharing"",""อำนาจเจริญ!J192"")"),1)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IFERROR(__xludf.DUMMYFUNCTION("IMPORTRANGE(""https://docs.google.com/spreadsheets/d/1XL5vhW3sbDhbH9Cz0tuDiY8C3ctxq1tqvaCgkFb8cCA/edit?usp=sharing"",""อำนาจเจริญ!J193"")"),1)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IFERROR(__xludf.DUMMYFUNCTION("IMPORTRANGE(""https://docs.google.com/spreadsheets/d/1XL5vhW3sbDhbH9Cz0tuDiY8C3ctxq1tqvaCgkFb8cCA/edit?usp=sharing"",""อำนาจเจริญ!J194"")"),1)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IFERROR(__xludf.DUMMYFUNCTION("IMPORTRANGE(""https://docs.google.com/spreadsheets/d/1XL5vhW3sbDhbH9Cz0tuDiY8C3ctxq1tqvaCgkFb8cCA/edit?usp=sharing"",""อำนาจเจริญ!I195"")"),15)</f>
        <v>15</v>
      </c>
      <c r="J285" s="190">
        <f ca="1">IFERROR(__xludf.DUMMYFUNCTION("IMPORTRANGE(""https://docs.google.com/spreadsheets/d/1XL5vhW3sbDhbH9Cz0tuDiY8C3ctxq1tqvaCgkFb8cCA/edit?usp=sharing"",""อำนาจเจริญ!J195"")"),0)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IFERROR(__xludf.DUMMYFUNCTION("IMPORTRANGE(""https://docs.google.com/spreadsheets/d/1XL5vhW3sbDhbH9Cz0tuDiY8C3ctxq1tqvaCgkFb8cCA/edit?usp=sharing"",""อำนาจเจริญ!J196"")"),0)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IFERROR(__xludf.DUMMYFUNCTION("IMPORTRANGE(""https://docs.google.com/spreadsheets/d/1XL5vhW3sbDhbH9Cz0tuDiY8C3ctxq1tqvaCgkFb8cCA/edit?usp=sharing"",""อำนาจเจริญ!J197"")"),0)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IFERROR(__xludf.DUMMYFUNCTION("IMPORTRANGE(""https://docs.google.com/spreadsheets/d/1XL5vhW3sbDhbH9Cz0tuDiY8C3ctxq1tqvaCgkFb8cCA/edit?usp=sharing"",""อำนาจเจริญ!I199"")"),0)</f>
        <v>0</v>
      </c>
      <c r="J289" s="316">
        <f ca="1">IFERROR(__xludf.DUMMYFUNCTION("IMPORTRANGE(""https://docs.google.com/spreadsheets/d/1XL5vhW3sbDhbH9Cz0tuDiY8C3ctxq1tqvaCgkFb8cCA/edit?usp=sharing"",""อำนาจเจริญ!J199"")"),0)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IFERROR(__xludf.DUMMYFUNCTION("IMPORTRANGE(""https://docs.google.com/spreadsheets/d/1Yj_ptqi66GCucihVvJfMjLAmec39IyEx_6qawtMGysU/edit?usp=sharing"",""สบก!CT55"")"),0)</f>
        <v>0</v>
      </c>
      <c r="N294" s="538">
        <f ca="1">IFERROR(__xludf.DUMMYFUNCTION("IMPORTRANGE(""https://docs.google.com/spreadsheets/d/1Yj_ptqi66GCucihVvJfMjLAmec39IyEx_6qawtMGysU/edit?usp=sharing"",""สบก!CU55"")"),0)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IFERROR(__xludf.DUMMYFUNCTION("IMPORTRANGE(""https://docs.google.com/spreadsheets/d/1Yj_ptqi66GCucihVvJfMjLAmec39IyEx_6qawtMGysU/edit?usp=sharing"",""สบก!CP55"")"),0)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IFERROR(__xludf.DUMMYFUNCTION("IMPORTRANGE(""https://docs.google.com/spreadsheets/d/1Yj_ptqi66GCucihVvJfMjLAmec39IyEx_6qawtMGysU/edit?usp=sharing"",""สบก!CQ55"")"),0)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IFERROR(__xludf.DUMMYFUNCTION("IMPORTRANGE(""https://docs.google.com/spreadsheets/d/1Yj_ptqi66GCucihVvJfMjLAmec39IyEx_6qawtMGysU/edit?usp=sharing"",""สบก!CR55"")"),0)</f>
        <v>0</v>
      </c>
      <c r="M298" s="536"/>
      <c r="N298" s="533">
        <f ca="1">IFERROR(__xludf.DUMMYFUNCTION("IMPORTRANGE(""https://docs.google.com/spreadsheets/d/1Yj_ptqi66GCucihVvJfMjLAmec39IyEx_6qawtMGysU/edit?usp=sharing"",""สบก!CV55"")"),0)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IFERROR(__xludf.DUMMYFUNCTION("IMPORTRANGE(""https://docs.google.com/spreadsheets/d/1XL5vhW3sbDhbH9Cz0tuDiY8C3ctxq1tqvaCgkFb8cCA/edit?usp=sharing"",""อำนาจเจริญ!I209"")"),0)</f>
        <v>0</v>
      </c>
      <c r="J304" s="205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IFERROR(__xludf.DUMMYFUNCTION("IMPORTRANGE(""https://docs.google.com/spreadsheets/d/1XL5vhW3sbDhbH9Cz0tuDiY8C3ctxq1tqvaCgkFb8cCA/edit?usp=sharing"",""อำนาจเจริญ!I211"")"),0)</f>
        <v>0</v>
      </c>
      <c r="J306" s="205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IFERROR(__xludf.DUMMYFUNCTION("IMPORTRANGE(""https://docs.google.com/spreadsheets/d/1XL5vhW3sbDhbH9Cz0tuDiY8C3ctxq1tqvaCgkFb8cCA/edit?usp=sharing"",""อำนาจเจริญ!I214"")"),0)</f>
        <v>0</v>
      </c>
      <c r="J309" s="333">
        <f ca="1">IFERROR(__xludf.DUMMYFUNCTION("IMPORTRANGE(""https://docs.google.com/spreadsheets/d/1XL5vhW3sbDhbH9Cz0tuDiY8C3ctxq1tqvaCgkFb8cCA/edit?usp=sharing"",""อำนาจเจริญ!J214"")"),0)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IFERROR(__xludf.DUMMYFUNCTION("IMPORTRANGE(""https://docs.google.com/spreadsheets/d/1Yj_ptqi66GCucihVvJfMjLAmec39IyEx_6qawtMGysU/edit?usp=sharing"",""สบก!DC55"")"),0)</f>
        <v>0</v>
      </c>
      <c r="N314" s="538">
        <f ca="1">IFERROR(__xludf.DUMMYFUNCTION("IMPORTRANGE(""https://docs.google.com/spreadsheets/d/1Yj_ptqi66GCucihVvJfMjLAmec39IyEx_6qawtMGysU/edit?usp=sharing"",""สบก!DD55"")"),0)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IFERROR(__xludf.DUMMYFUNCTION("IMPORTRANGE(""https://docs.google.com/spreadsheets/d/1Yj_ptqi66GCucihVvJfMjLAmec39IyEx_6qawtMGysU/edit?usp=sharing"",""สบก!CY55"")"),0)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IFERROR(__xludf.DUMMYFUNCTION("IMPORTRANGE(""https://docs.google.com/spreadsheets/d/1Yj_ptqi66GCucihVvJfMjLAmec39IyEx_6qawtMGysU/edit?usp=sharing"",""สบก!CZ55"")"),0)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IFERROR(__xludf.DUMMYFUNCTION("IMPORTRANGE(""https://docs.google.com/spreadsheets/d/1Yj_ptqi66GCucihVvJfMjLAmec39IyEx_6qawtMGysU/edit?usp=sharing"",""สบก!DA55"")"),0)</f>
        <v>0</v>
      </c>
      <c r="M318" s="536"/>
      <c r="N318" s="533">
        <f ca="1">IFERROR(__xludf.DUMMYFUNCTION("IMPORTRANGE(""https://docs.google.com/spreadsheets/d/1Yj_ptqi66GCucihVvJfMjLAmec39IyEx_6qawtMGysU/edit?usp=sharing"",""สบก!DE55"")"),0)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IFERROR(__xludf.DUMMYFUNCTION("IMPORTRANGE(""https://docs.google.com/spreadsheets/d/1XL5vhW3sbDhbH9Cz0tuDiY8C3ctxq1tqvaCgkFb8cCA/edit?usp=sharing"",""อำนาจเจริญ!I224"")"),0)</f>
        <v>0</v>
      </c>
      <c r="J324" s="205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IFERROR(__xludf.DUMMYFUNCTION("IMPORTRANGE(""https://docs.google.com/spreadsheets/d/1XL5vhW3sbDhbH9Cz0tuDiY8C3ctxq1tqvaCgkFb8cCA/edit?usp=sharing"",""อำนาจเจริญ!I228"")"),190)</f>
        <v>190</v>
      </c>
      <c r="J328" s="339">
        <f ca="1">IFERROR(__xludf.DUMMYFUNCTION("IMPORTRANGE(""https://docs.google.com/spreadsheets/d/1XL5vhW3sbDhbH9Cz0tuDiY8C3ctxq1tqvaCgkFb8cCA/edit?usp=sharing"",""อำนาจเจริญ!J228"")"),69)</f>
        <v>69</v>
      </c>
      <c r="K328" s="317">
        <f ca="1">IF(I328&gt;0,J328*100/I328,0)</f>
        <v>36.315789473684212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645030</v>
      </c>
      <c r="M329" s="152">
        <f t="shared" ca="1" si="98"/>
        <v>362770</v>
      </c>
      <c r="N329" s="152">
        <f t="shared" ca="1" si="98"/>
        <v>291705</v>
      </c>
      <c r="O329" s="151">
        <f t="shared" ref="O329:O331" ca="1" si="99">IF(L329&gt;0,N329*100/L329,0)</f>
        <v>45.223477977768475</v>
      </c>
      <c r="P329" s="151">
        <f t="shared" ref="P329:P331" ca="1" si="100">IF(M329&gt;0,N329*100/M329,0)</f>
        <v>80.410452904043879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645030</v>
      </c>
      <c r="M331" s="157">
        <f t="shared" ca="1" si="102"/>
        <v>362770</v>
      </c>
      <c r="N331" s="157">
        <f t="shared" ca="1" si="102"/>
        <v>291705</v>
      </c>
      <c r="O331" s="156">
        <f t="shared" ca="1" si="99"/>
        <v>45.223477977768475</v>
      </c>
      <c r="P331" s="156">
        <f t="shared" ca="1" si="100"/>
        <v>80.410452904043879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608530</v>
      </c>
      <c r="M333" s="537">
        <f ca="1">IFERROR(__xludf.DUMMYFUNCTION("IMPORTRANGE(""https://docs.google.com/spreadsheets/d/1Yj_ptqi66GCucihVvJfMjLAmec39IyEx_6qawtMGysU/edit?usp=sharing"",""สบก!DL55"")"),326270)</f>
        <v>326270</v>
      </c>
      <c r="N333" s="538">
        <f ca="1">IFERROR(__xludf.DUMMYFUNCTION("IMPORTRANGE(""https://docs.google.com/spreadsheets/d/1Yj_ptqi66GCucihVvJfMjLAmec39IyEx_6qawtMGysU/edit?usp=sharing"",""สบก!DM55"")"),255205)</f>
        <v>255205</v>
      </c>
      <c r="O333" s="170">
        <f ca="1">IF(L333&gt;0,N333*100/L333,0)</f>
        <v>41.937948827502339</v>
      </c>
      <c r="P333" s="170">
        <f ca="1">IF(M333&gt;0,N333*100/M333,0)</f>
        <v>78.218959757256258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IFERROR(__xludf.DUMMYFUNCTION("IMPORTRANGE(""https://docs.google.com/spreadsheets/d/1Yj_ptqi66GCucihVvJfMjLAmec39IyEx_6qawtMGysU/edit?usp=sharing"",""สบก!DH55"")"),306000)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IFERROR(__xludf.DUMMYFUNCTION("IMPORTRANGE(""https://docs.google.com/spreadsheets/d/1Yj_ptqi66GCucihVvJfMjLAmec39IyEx_6qawtMGysU/edit?usp=sharing"",""สบก!DI55"")"),302530)</f>
        <v>302530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IFERROR(__xludf.DUMMYFUNCTION("IMPORTRANGE(""https://docs.google.com/spreadsheets/d/1Yj_ptqi66GCucihVvJfMjLAmec39IyEx_6qawtMGysU/edit?usp=sharing"",""สบก!DJ55"")"),36500)</f>
        <v>36500</v>
      </c>
      <c r="M337" s="536">
        <f ca="1">L337</f>
        <v>36500</v>
      </c>
      <c r="N337" s="533">
        <f ca="1">IFERROR(__xludf.DUMMYFUNCTION("IMPORTRANGE(""https://docs.google.com/spreadsheets/d/1Yj_ptqi66GCucihVvJfMjLAmec39IyEx_6qawtMGysU/edit?usp=sharing"",""สบก!DN55"")"),36500)</f>
        <v>36500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IFERROR(__xludf.DUMMYFUNCTION("IMPORTRANGE(""https://docs.google.com/spreadsheets/d/1XL5vhW3sbDhbH9Cz0tuDiY8C3ctxq1tqvaCgkFb8cCA/edit?usp=sharing"",""อำนาจเจริญ!I234"")"),0)</f>
        <v>0</v>
      </c>
      <c r="J339" s="189">
        <f ca="1">IFERROR(__xludf.DUMMYFUNCTION("IMPORTRANGE(""https://docs.google.com/spreadsheets/d/1XL5vhW3sbDhbH9Cz0tuDiY8C3ctxq1tqvaCgkFb8cCA/edit?usp=sharing"",""อำนาจเจริญ!J234"")"),128)</f>
        <v>128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IFERROR(__xludf.DUMMYFUNCTION("IMPORTRANGE(""https://docs.google.com/spreadsheets/d/1XL5vhW3sbDhbH9Cz0tuDiY8C3ctxq1tqvaCgkFb8cCA/edit?usp=sharing"",""อำนาจเจริญ!I235"")"),1300)</f>
        <v>1300</v>
      </c>
      <c r="J340" s="189">
        <f ca="1">IFERROR(__xludf.DUMMYFUNCTION("IMPORTRANGE(""https://docs.google.com/spreadsheets/d/1XL5vhW3sbDhbH9Cz0tuDiY8C3ctxq1tqvaCgkFb8cCA/edit?usp=sharing"",""อำนาจเจริญ!J235"")"),1311.13)</f>
        <v>1311.13</v>
      </c>
      <c r="K340" s="342">
        <f t="shared" ca="1" si="103"/>
        <v>100.85615384615384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IFERROR(__xludf.DUMMYFUNCTION("IMPORTRANGE(""https://docs.google.com/spreadsheets/d/1XL5vhW3sbDhbH9Cz0tuDiY8C3ctxq1tqvaCgkFb8cCA/edit?usp=sharing"",""อำนาจเจริญ!I236"")"),190)</f>
        <v>190</v>
      </c>
      <c r="J341" s="189">
        <f ca="1">IFERROR(__xludf.DUMMYFUNCTION("IMPORTRANGE(""https://docs.google.com/spreadsheets/d/1XL5vhW3sbDhbH9Cz0tuDiY8C3ctxq1tqvaCgkFb8cCA/edit?usp=sharing"",""อำนาจเจริญ!J236"")"),149)</f>
        <v>149</v>
      </c>
      <c r="K341" s="342">
        <f t="shared" ca="1" si="103"/>
        <v>78.421052631578945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9">
        <f ca="1">IFERROR(__xludf.DUMMYFUNCTION("IMPORTRANGE(""https://docs.google.com/spreadsheets/d/1XL5vhW3sbDhbH9Cz0tuDiY8C3ctxq1tqvaCgkFb8cCA/edit?usp=sharing"",""อำนาจเจริญ!J237"")"),1442.05)</f>
        <v>1442.05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IFERROR(__xludf.DUMMYFUNCTION("IMPORTRANGE(""https://docs.google.com/spreadsheets/d/1XL5vhW3sbDhbH9Cz0tuDiY8C3ctxq1tqvaCgkFb8cCA/edit?usp=sharing"",""อำนาจเจริญ!I238"")"),190)</f>
        <v>190</v>
      </c>
      <c r="J343" s="189">
        <f ca="1">IFERROR(__xludf.DUMMYFUNCTION("IMPORTRANGE(""https://docs.google.com/spreadsheets/d/1XL5vhW3sbDhbH9Cz0tuDiY8C3ctxq1tqvaCgkFb8cCA/edit?usp=sharing"",""อำนาจเจริญ!J238"")"),9)</f>
        <v>9</v>
      </c>
      <c r="K343" s="342">
        <f t="shared" ca="1" si="103"/>
        <v>4.7368421052631575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9">
        <f ca="1">IFERROR(__xludf.DUMMYFUNCTION("IMPORTRANGE(""https://docs.google.com/spreadsheets/d/1XL5vhW3sbDhbH9Cz0tuDiY8C3ctxq1tqvaCgkFb8cCA/edit?usp=sharing"",""อำนาจเจริญ!J239"")"),56.88)</f>
        <v>56.88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IFERROR(__xludf.DUMMYFUNCTION("IMPORTRANGE(""https://docs.google.com/spreadsheets/d/1XL5vhW3sbDhbH9Cz0tuDiY8C3ctxq1tqvaCgkFb8cCA/edit?usp=sharing"",""อำนาจเจริญ!I240"")"),190)</f>
        <v>190</v>
      </c>
      <c r="J345" s="189">
        <f ca="1">IFERROR(__xludf.DUMMYFUNCTION("IMPORTRANGE(""https://docs.google.com/spreadsheets/d/1XL5vhW3sbDhbH9Cz0tuDiY8C3ctxq1tqvaCgkFb8cCA/edit?usp=sharing"",""อำนาจเจริญ!J240"")"),69)</f>
        <v>69</v>
      </c>
      <c r="K345" s="342">
        <f t="shared" ca="1" si="103"/>
        <v>36.315789473684212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9">
        <f ca="1">IFERROR(__xludf.DUMMYFUNCTION("IMPORTRANGE(""https://docs.google.com/spreadsheets/d/1XL5vhW3sbDhbH9Cz0tuDiY8C3ctxq1tqvaCgkFb8cCA/edit?usp=sharing"",""อำนาจเจริญ!J241"")"),646.84)</f>
        <v>646.84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IFERROR(__xludf.DUMMYFUNCTION("IMPORTRANGE(""https://docs.google.com/spreadsheets/d/1XL5vhW3sbDhbH9Cz0tuDiY8C3ctxq1tqvaCgkFb8cCA/edit?usp=sharing"",""อำนาจเจริญ!L242"")"),1401344)</f>
        <v>1401344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IFERROR(__xludf.DUMMYFUNCTION("IMPORTRANGE(""https://docs.google.com/spreadsheets/d/1XL5vhW3sbDhbH9Cz0tuDiY8C3ctxq1tqvaCgkFb8cCA/edit?usp=sharing"",""อำนาจเจริญ!M242"")"),184945)</f>
        <v>184945</v>
      </c>
      <c r="O347" s="358">
        <f ca="1">+IF(L347&gt;0,N347*100/L347,0)</f>
        <v>13.197687362988674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IFERROR(__xludf.DUMMYFUNCTION("IMPORTRANGE(""https://docs.google.com/spreadsheets/d/1XL5vhW3sbDhbH9Cz0tuDiY8C3ctxq1tqvaCgkFb8cCA/edit?usp=sharing"",""อำนาจเจริญ!M244"")"),73500)</f>
        <v>73500</v>
      </c>
      <c r="O349" s="373">
        <f ca="1">+IF(L349&gt;0,N349*100/L349,0)</f>
        <v>22.737115634473799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IFERROR(__xludf.DUMMYFUNCTION("IMPORTRANGE(""https://docs.google.com/spreadsheets/d/1XL5vhW3sbDhbH9Cz0tuDiY8C3ctxq1tqvaCgkFb8cCA/edit?usp=sharing"",""อำนาจเจริญ!L246"")"),0)</f>
        <v>0</v>
      </c>
      <c r="M351" s="166"/>
      <c r="N351" s="166">
        <f ca="1">IFERROR(__xludf.DUMMYFUNCTION("IMPORTRANGE(""https://docs.google.com/spreadsheets/d/1XL5vhW3sbDhbH9Cz0tuDiY8C3ctxq1tqvaCgkFb8cCA/edit?usp=sharing"",""อำนาจเจริญ!M246"")"),0)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7"/>
      <c r="N352" s="166">
        <f ca="1">IFERROR(__xludf.DUMMYFUNCTION("IMPORTRANGE(""https://docs.google.com/spreadsheets/d/1XL5vhW3sbDhbH9Cz0tuDiY8C3ctxq1tqvaCgkFb8cCA/edit?usp=sharing"",""อำนาจเจริญ!M247"")"),73500)</f>
        <v>73500</v>
      </c>
      <c r="O352" s="167">
        <f t="shared" ca="1" si="105"/>
        <v>22.737115634473799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IFERROR(__xludf.DUMMYFUNCTION("IMPORTRANGE(""https://docs.google.com/spreadsheets/d/1XL5vhW3sbDhbH9Cz0tuDiY8C3ctxq1tqvaCgkFb8cCA/edit?usp=sharing"",""อำนาจเจริญ!L248"")"),0)</f>
        <v>0</v>
      </c>
      <c r="M353" s="170"/>
      <c r="N353" s="170">
        <f ca="1">IFERROR(__xludf.DUMMYFUNCTION("IMPORTRANGE(""https://docs.google.com/spreadsheets/d/1XL5vhW3sbDhbH9Cz0tuDiY8C3ctxq1tqvaCgkFb8cCA/edit?usp=sharing"",""อำนาจเจริญ!M248"")"),0)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IFERROR(__xludf.DUMMYFUNCTION("IMPORTRANGE(""https://docs.google.com/spreadsheets/d/1XL5vhW3sbDhbH9Cz0tuDiY8C3ctxq1tqvaCgkFb8cCA/edit?usp=sharing"",""อำนาจเจริญ!L249"")"),323260)</f>
        <v>323260</v>
      </c>
      <c r="M354" s="170"/>
      <c r="N354" s="169">
        <f ca="1">IFERROR(__xludf.DUMMYFUNCTION("IMPORTRANGE(""https://docs.google.com/spreadsheets/d/1XL5vhW3sbDhbH9Cz0tuDiY8C3ctxq1tqvaCgkFb8cCA/edit?usp=sharing"",""อำนาจเจริญ!M249"")"),73500)</f>
        <v>73500</v>
      </c>
      <c r="O354" s="170">
        <f t="shared" ca="1" si="105"/>
        <v>22.737115634473799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IFERROR(__xludf.DUMMYFUNCTION("IMPORTRANGE(""https://docs.google.com/spreadsheets/d/1XL5vhW3sbDhbH9Cz0tuDiY8C3ctxq1tqvaCgkFb8cCA/edit?usp=sharing"",""อำนาจเจริญ!M250"")"),32100)</f>
        <v>32100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IFERROR(__xludf.DUMMYFUNCTION("IMPORTRANGE(""https://docs.google.com/spreadsheets/d/1XL5vhW3sbDhbH9Cz0tuDiY8C3ctxq1tqvaCgkFb8cCA/edit?usp=sharing"",""อำนาจเจริญ!M251"")"),0)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IFERROR(__xludf.DUMMYFUNCTION("IMPORTRANGE(""https://docs.google.com/spreadsheets/d/1XL5vhW3sbDhbH9Cz0tuDiY8C3ctxq1tqvaCgkFb8cCA/edit?usp=sharing"",""อำนาจเจริญ!M252"")"),34400)</f>
        <v>34400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IFERROR(__xludf.DUMMYFUNCTION("IMPORTRANGE(""https://docs.google.com/spreadsheets/d/1XL5vhW3sbDhbH9Cz0tuDiY8C3ctxq1tqvaCgkFb8cCA/edit?usp=sharing"",""อำนาจเจริญ!M253"")"),7000)</f>
        <v>7000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IFERROR(__xludf.DUMMYFUNCTION("IMPORTRANGE(""https://docs.google.com/spreadsheets/d/1XL5vhW3sbDhbH9Cz0tuDiY8C3ctxq1tqvaCgkFb8cCA/edit?usp=sharing"",""อำนาจเจริญ!J255"")"),0)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IFERROR(__xludf.DUMMYFUNCTION("IMPORTRANGE(""https://docs.google.com/spreadsheets/d/1XL5vhW3sbDhbH9Cz0tuDiY8C3ctxq1tqvaCgkFb8cCA/edit?usp=sharing"",""อำนาจเจริญ!J256"")"),1)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IFERROR(__xludf.DUMMYFUNCTION("IMPORTRANGE(""https://docs.google.com/spreadsheets/d/1XL5vhW3sbDhbH9Cz0tuDiY8C3ctxq1tqvaCgkFb8cCA/edit?usp=sharing"",""อำนาจเจริญ!J257"")"),1)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IFERROR(__xludf.DUMMYFUNCTION("IMPORTRANGE(""https://docs.google.com/spreadsheets/d/1XL5vhW3sbDhbH9Cz0tuDiY8C3ctxq1tqvaCgkFb8cCA/edit?usp=sharing"",""อำนาจเจริญ!J258"")"),1)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IFERROR(__xludf.DUMMYFUNCTION("IMPORTRANGE(""https://docs.google.com/spreadsheets/d/1XL5vhW3sbDhbH9Cz0tuDiY8C3ctxq1tqvaCgkFb8cCA/edit?usp=sharing"",""อำนาจเจริญ!J166"")"),0)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IFERROR(__xludf.DUMMYFUNCTION("IMPORTRANGE(""https://docs.google.com/spreadsheets/d/1XL5vhW3sbDhbH9Cz0tuDiY8C3ctxq1tqvaCgkFb8cCA/edit?usp=sharing"",""อำนาจเจริญ!J166"")"),0)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IFERROR(__xludf.DUMMYFUNCTION("IMPORTRANGE(""https://docs.google.com/spreadsheets/d/1XL5vhW3sbDhbH9Cz0tuDiY8C3ctxq1tqvaCgkFb8cCA/edit?usp=sharing"",""อำนาจเจริญ!J166"")"),0)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IFERROR(__xludf.DUMMYFUNCTION("IMPORTRANGE(""https://docs.google.com/spreadsheets/d/1XL5vhW3sbDhbH9Cz0tuDiY8C3ctxq1tqvaCgkFb8cCA/edit?usp=sharing"",""อำนาจเจริญ!J166"")"),0)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IFERROR(__xludf.DUMMYFUNCTION("IMPORTRANGE(""https://docs.google.com/spreadsheets/d/1XL5vhW3sbDhbH9Cz0tuDiY8C3ctxq1tqvaCgkFb8cCA/edit?usp=sharing"",""อำนาจเจริญ!I263"")"),30)</f>
        <v>30</v>
      </c>
      <c r="J368" s="189">
        <f ca="1">IFERROR(__xludf.DUMMYFUNCTION("IMPORTRANGE(""https://docs.google.com/spreadsheets/d/1XL5vhW3sbDhbH9Cz0tuDiY8C3ctxq1tqvaCgkFb8cCA/edit?usp=sharing"",""อำนาจเจริญ!J263"")"),0)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IFERROR(__xludf.DUMMYFUNCTION("IMPORTRANGE(""https://docs.google.com/spreadsheets/d/1XL5vhW3sbDhbH9Cz0tuDiY8C3ctxq1tqvaCgkFb8cCA/edit?usp=sharing"",""อำนาจเจริญ!I164"")"),0)</f>
        <v>0</v>
      </c>
      <c r="J369" s="205">
        <f ca="1">IFERROR(__xludf.DUMMYFUNCTION("IMPORTRANGE(""https://docs.google.com/spreadsheets/d/1XL5vhW3sbDhbH9Cz0tuDiY8C3ctxq1tqvaCgkFb8cCA/edit?usp=sharing"",""อำนาจเจริญ!J164"")"),0)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IFERROR(__xludf.DUMMYFUNCTION("IMPORTRANGE(""https://docs.google.com/spreadsheets/d/1XL5vhW3sbDhbH9Cz0tuDiY8C3ctxq1tqvaCgkFb8cCA/edit?usp=sharing"",""อำนาจเจริญ!I265"")"),30)</f>
        <v>30</v>
      </c>
      <c r="J370" s="205">
        <f ca="1">IFERROR(__xludf.DUMMYFUNCTION("IMPORTRANGE(""https://docs.google.com/spreadsheets/d/1XL5vhW3sbDhbH9Cz0tuDiY8C3ctxq1tqvaCgkFb8cCA/edit?usp=sharing"",""อำนาจเจริญ!J265"")"),0)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IFERROR(__xludf.DUMMYFUNCTION("IMPORTRANGE(""https://docs.google.com/spreadsheets/d/1XL5vhW3sbDhbH9Cz0tuDiY8C3ctxq1tqvaCgkFb8cCA/edit?usp=sharing"",""อำนาจเจริญ!I164"")"),0)</f>
        <v>0</v>
      </c>
      <c r="J371" s="190">
        <f ca="1">IFERROR(__xludf.DUMMYFUNCTION("IMPORTRANGE(""https://docs.google.com/spreadsheets/d/1XL5vhW3sbDhbH9Cz0tuDiY8C3ctxq1tqvaCgkFb8cCA/edit?usp=sharing"",""อำนาจเจริญ!J164"")"),0)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IFERROR(__xludf.DUMMYFUNCTION("IMPORTRANGE(""https://docs.google.com/spreadsheets/d/1XL5vhW3sbDhbH9Cz0tuDiY8C3ctxq1tqvaCgkFb8cCA/edit?usp=sharing"",""อำนาจเจริญ!I267"")"),30)</f>
        <v>30</v>
      </c>
      <c r="J372" s="190">
        <f ca="1">IFERROR(__xludf.DUMMYFUNCTION("IMPORTRANGE(""https://docs.google.com/spreadsheets/d/1XL5vhW3sbDhbH9Cz0tuDiY8C3ctxq1tqvaCgkFb8cCA/edit?usp=sharing"",""อำนาจเจริญ!J267"")"),0)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IFERROR(__xludf.DUMMYFUNCTION("IMPORTRANGE(""https://docs.google.com/spreadsheets/d/1XL5vhW3sbDhbH9Cz0tuDiY8C3ctxq1tqvaCgkFb8cCA/edit?usp=sharing"",""อำนาจเจริญ!I164"")"),0)</f>
        <v>0</v>
      </c>
      <c r="J373" s="205">
        <f ca="1">IFERROR(__xludf.DUMMYFUNCTION("IMPORTRANGE(""https://docs.google.com/spreadsheets/d/1XL5vhW3sbDhbH9Cz0tuDiY8C3ctxq1tqvaCgkFb8cCA/edit?usp=sharing"",""อำนาจเจริญ!J164"")"),0)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IFERROR(__xludf.DUMMYFUNCTION("IMPORTRANGE(""https://docs.google.com/spreadsheets/d/1XL5vhW3sbDhbH9Cz0tuDiY8C3ctxq1tqvaCgkFb8cCA/edit?usp=sharing"",""อำนาจเจริญ!I164"")"),0)</f>
        <v>0</v>
      </c>
      <c r="J374" s="189">
        <f ca="1">IFERROR(__xludf.DUMMYFUNCTION("IMPORTRANGE(""https://docs.google.com/spreadsheets/d/1XL5vhW3sbDhbH9Cz0tuDiY8C3ctxq1tqvaCgkFb8cCA/edit?usp=sharing"",""อำนาจเจริญ!J164"")"),0)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IFERROR(__xludf.DUMMYFUNCTION("IMPORTRANGE(""https://docs.google.com/spreadsheets/d/1XL5vhW3sbDhbH9Cz0tuDiY8C3ctxq1tqvaCgkFb8cCA/edit?usp=sharing"",""อำนาจเจริญ!I270"")"),120)</f>
        <v>120</v>
      </c>
      <c r="J375" s="189">
        <f ca="1">IFERROR(__xludf.DUMMYFUNCTION("IMPORTRANGE(""https://docs.google.com/spreadsheets/d/1XL5vhW3sbDhbH9Cz0tuDiY8C3ctxq1tqvaCgkFb8cCA/edit?usp=sharing"",""อำนาจเจริญ!J270"")"),0)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IFERROR(__xludf.DUMMYFUNCTION("IMPORTRANGE(""https://docs.google.com/spreadsheets/d/1XL5vhW3sbDhbH9Cz0tuDiY8C3ctxq1tqvaCgkFb8cCA/edit?usp=sharing"",""อำนาจเจริญ!I271"")"),45)</f>
        <v>45</v>
      </c>
      <c r="J376" s="190">
        <f ca="1">IFERROR(__xludf.DUMMYFUNCTION("IMPORTRANGE(""https://docs.google.com/spreadsheets/d/1XL5vhW3sbDhbH9Cz0tuDiY8C3ctxq1tqvaCgkFb8cCA/edit?usp=sharing"",""อำนาจเจริญ!J271"")"),0)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IFERROR(__xludf.DUMMYFUNCTION("IMPORTRANGE(""https://docs.google.com/spreadsheets/d/1XL5vhW3sbDhbH9Cz0tuDiY8C3ctxq1tqvaCgkFb8cCA/edit?usp=sharing"",""อำนาจเจริญ!I272"")"),75)</f>
        <v>75</v>
      </c>
      <c r="J377" s="205">
        <f ca="1">IFERROR(__xludf.DUMMYFUNCTION("IMPORTRANGE(""https://docs.google.com/spreadsheets/d/1XL5vhW3sbDhbH9Cz0tuDiY8C3ctxq1tqvaCgkFb8cCA/edit?usp=sharing"",""อำนาจเจริญ!J272"")"),0)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IFERROR(__xludf.DUMMYFUNCTION("IMPORTRANGE(""https://docs.google.com/spreadsheets/d/1XL5vhW3sbDhbH9Cz0tuDiY8C3ctxq1tqvaCgkFb8cCA/edit?usp=sharing"",""อำนาจเจริญ!J273"")"),0)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IFERROR(__xludf.DUMMYFUNCTION("IMPORTRANGE(""https://docs.google.com/spreadsheets/d/1XL5vhW3sbDhbH9Cz0tuDiY8C3ctxq1tqvaCgkFb8cCA/edit?usp=sharing"",""อำนาจเจริญ!M275"")"),1960)</f>
        <v>1960</v>
      </c>
      <c r="O380" s="373">
        <f ca="1">+IF(L380&gt;0,N380*100/L380,0)</f>
        <v>0.42595731733820141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IFERROR(__xludf.DUMMYFUNCTION("IMPORTRANGE(""https://docs.google.com/spreadsheets/d/1XL5vhW3sbDhbH9Cz0tuDiY8C3ctxq1tqvaCgkFb8cCA/edit?usp=sharing"",""อำนาจเจริญ!L277"")"),0)</f>
        <v>0</v>
      </c>
      <c r="M382" s="166"/>
      <c r="N382" s="166">
        <f ca="1">IFERROR(__xludf.DUMMYFUNCTION("IMPORTRANGE(""https://docs.google.com/spreadsheets/d/1XL5vhW3sbDhbH9Cz0tuDiY8C3ctxq1tqvaCgkFb8cCA/edit?usp=sharing"",""อำนาจเจริญ!M277"")"),0)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IFERROR(__xludf.DUMMYFUNCTION("IMPORTRANGE(""https://docs.google.com/spreadsheets/d/1XL5vhW3sbDhbH9Cz0tuDiY8C3ctxq1tqvaCgkFb8cCA/edit?usp=sharing"",""อำนาจเจริญ!M278"")"),1960)</f>
        <v>1960</v>
      </c>
      <c r="O383" s="167">
        <f t="shared" ca="1" si="109"/>
        <v>0.42595731733820141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IFERROR(__xludf.DUMMYFUNCTION("IMPORTRANGE(""https://docs.google.com/spreadsheets/d/1XL5vhW3sbDhbH9Cz0tuDiY8C3ctxq1tqvaCgkFb8cCA/edit?usp=sharing"",""อำนาจเจริญ!L279"")"),0)</f>
        <v>0</v>
      </c>
      <c r="M384" s="170"/>
      <c r="N384" s="170">
        <f ca="1">IFERROR(__xludf.DUMMYFUNCTION("IMPORTRANGE(""https://docs.google.com/spreadsheets/d/1XL5vhW3sbDhbH9Cz0tuDiY8C3ctxq1tqvaCgkFb8cCA/edit?usp=sharing"",""อำนาจเจริญ!M279"")"),0)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IFERROR(__xludf.DUMMYFUNCTION("IMPORTRANGE(""https://docs.google.com/spreadsheets/d/1XL5vhW3sbDhbH9Cz0tuDiY8C3ctxq1tqvaCgkFb8cCA/edit?usp=sharing"",""อำนาจเจริญ!L280"")"),460140)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IFERROR(__xludf.DUMMYFUNCTION("IMPORTRANGE(""https://docs.google.com/spreadsheets/d/1XL5vhW3sbDhbH9Cz0tuDiY8C3ctxq1tqvaCgkFb8cCA/edit?usp=sharing"",""อำนาจเจริญ!M280"")"),1960)</f>
        <v>1960</v>
      </c>
      <c r="O385" s="170">
        <f t="shared" ca="1" si="109"/>
        <v>0.42595731733820141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IFERROR(__xludf.DUMMYFUNCTION("IMPORTRANGE(""https://docs.google.com/spreadsheets/d/1XL5vhW3sbDhbH9Cz0tuDiY8C3ctxq1tqvaCgkFb8cCA/edit?usp=sharing"",""อำนาจเจริญ!M281"")"),0)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IFERROR(__xludf.DUMMYFUNCTION("IMPORTRANGE(""https://docs.google.com/spreadsheets/d/1XL5vhW3sbDhbH9Cz0tuDiY8C3ctxq1tqvaCgkFb8cCA/edit?usp=sharing"",""อำนาจเจริญ!M282"")"),0)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IFERROR(__xludf.DUMMYFUNCTION("IMPORTRANGE(""https://docs.google.com/spreadsheets/d/1XL5vhW3sbDhbH9Cz0tuDiY8C3ctxq1tqvaCgkFb8cCA/edit?usp=sharing"",""อำนาจเจริญ!M284"")"),1960)</f>
        <v>1960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IFERROR(__xludf.DUMMYFUNCTION("IMPORTRANGE(""https://docs.google.com/spreadsheets/d/1XL5vhW3sbDhbH9Cz0tuDiY8C3ctxq1tqvaCgkFb8cCA/edit?usp=sharing"",""อำนาจเจริญ!J286"")"),0)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IFERROR(__xludf.DUMMYFUNCTION("IMPORTRANGE(""https://docs.google.com/spreadsheets/d/1XL5vhW3sbDhbH9Cz0tuDiY8C3ctxq1tqvaCgkFb8cCA/edit?usp=sharing"",""อำนาจเจริญ!J287"")"),1)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IFERROR(__xludf.DUMMYFUNCTION("IMPORTRANGE(""https://docs.google.com/spreadsheets/d/1XL5vhW3sbDhbH9Cz0tuDiY8C3ctxq1tqvaCgkFb8cCA/edit?usp=sharing"",""อำนาจเจริญ!J288"")"),1)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IFERROR(__xludf.DUMMYFUNCTION("IMPORTRANGE(""https://docs.google.com/spreadsheets/d/1XL5vhW3sbDhbH9Cz0tuDiY8C3ctxq1tqvaCgkFb8cCA/edit?usp=sharing"",""อำนาจเจริญ!J289"")"),1)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IFERROR(__xludf.DUMMYFUNCTION("IMPORTRANGE(""https://docs.google.com/spreadsheets/d/1XL5vhW3sbDhbH9Cz0tuDiY8C3ctxq1tqvaCgkFb8cCA/edit?usp=sharing"",""อำนาจเจริญ!I291"")"),50)</f>
        <v>50</v>
      </c>
      <c r="J396" s="199">
        <f ca="1">IFERROR(__xludf.DUMMYFUNCTION("IMPORTRANGE(""https://docs.google.com/spreadsheets/d/1XL5vhW3sbDhbH9Cz0tuDiY8C3ctxq1tqvaCgkFb8cCA/edit?usp=sharing"",""อำนาจเจริญ!J291"")"),0)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IFERROR(__xludf.DUMMYFUNCTION("IMPORTRANGE(""https://docs.google.com/spreadsheets/d/1XL5vhW3sbDhbH9Cz0tuDiY8C3ctxq1tqvaCgkFb8cCA/edit?usp=sharing"",""อำนาจเจริญ!I292"")"),500)</f>
        <v>500</v>
      </c>
      <c r="J397" s="199">
        <f ca="1">IFERROR(__xludf.DUMMYFUNCTION("IMPORTRANGE(""https://docs.google.com/spreadsheets/d/1XL5vhW3sbDhbH9Cz0tuDiY8C3ctxq1tqvaCgkFb8cCA/edit?usp=sharing"",""อำนาจเจริญ!J292"")"),0)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IFERROR(__xludf.DUMMYFUNCTION("IMPORTRANGE(""https://docs.google.com/spreadsheets/d/1XL5vhW3sbDhbH9Cz0tuDiY8C3ctxq1tqvaCgkFb8cCA/edit?usp=sharing"",""อำนาจเจริญ!I293"")"),50)</f>
        <v>50</v>
      </c>
      <c r="J398" s="199">
        <f ca="1">IFERROR(__xludf.DUMMYFUNCTION("IMPORTRANGE(""https://docs.google.com/spreadsheets/d/1XL5vhW3sbDhbH9Cz0tuDiY8C3ctxq1tqvaCgkFb8cCA/edit?usp=sharing"",""อำนาจเจริญ!J293"")"),0)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IFERROR(__xludf.DUMMYFUNCTION("IMPORTRANGE(""https://docs.google.com/spreadsheets/d/1XL5vhW3sbDhbH9Cz0tuDiY8C3ctxq1tqvaCgkFb8cCA/edit?usp=sharing"",""อำนาจเจริญ!J294"")"),0)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IFERROR(__xludf.DUMMYFUNCTION("IMPORTRANGE(""https://docs.google.com/spreadsheets/d/1XL5vhW3sbDhbH9Cz0tuDiY8C3ctxq1tqvaCgkFb8cCA/edit?usp=sharing"",""อำนาจเจริญ!M296"")"),18230)</f>
        <v>18230</v>
      </c>
      <c r="O401" s="373">
        <f ca="1">+IF(L401&gt;0,N401*100/L401,0)</f>
        <v>10.580997155957977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IFERROR(__xludf.DUMMYFUNCTION("IMPORTRANGE(""https://docs.google.com/spreadsheets/d/1XL5vhW3sbDhbH9Cz0tuDiY8C3ctxq1tqvaCgkFb8cCA/edit?usp=sharing"",""อำนาจเจริญ!J297"")"),25)</f>
        <v>25</v>
      </c>
      <c r="K402" s="372">
        <f t="shared" ca="1" si="111"/>
        <v>45.454545454545453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IFERROR(__xludf.DUMMYFUNCTION("IMPORTRANGE(""https://docs.google.com/spreadsheets/d/1XL5vhW3sbDhbH9Cz0tuDiY8C3ctxq1tqvaCgkFb8cCA/edit?usp=sharing"",""อำนาจเจริญ!L298"")"),0)</f>
        <v>0</v>
      </c>
      <c r="M403" s="166"/>
      <c r="N403" s="170">
        <f ca="1">IFERROR(__xludf.DUMMYFUNCTION("IMPORTRANGE(""https://docs.google.com/spreadsheets/d/1XL5vhW3sbDhbH9Cz0tuDiY8C3ctxq1tqvaCgkFb8cCA/edit?usp=sharing"",""อำนาจเจริญ!M298"")"),0)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7"/>
      <c r="N404" s="170">
        <f ca="1">IFERROR(__xludf.DUMMYFUNCTION("IMPORTRANGE(""https://docs.google.com/spreadsheets/d/1XL5vhW3sbDhbH9Cz0tuDiY8C3ctxq1tqvaCgkFb8cCA/edit?usp=sharing"",""อำนาจเจริญ!M299"")"),18230)</f>
        <v>18230</v>
      </c>
      <c r="O404" s="170">
        <f t="shared" ca="1" si="112"/>
        <v>10.580997155957977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IFERROR(__xludf.DUMMYFUNCTION("IMPORTRANGE(""https://docs.google.com/spreadsheets/d/1XL5vhW3sbDhbH9Cz0tuDiY8C3ctxq1tqvaCgkFb8cCA/edit?usp=sharing"",""อำนาจเจริญ!L300"")"),0)</f>
        <v>0</v>
      </c>
      <c r="M405" s="170"/>
      <c r="N405" s="170">
        <f ca="1">IFERROR(__xludf.DUMMYFUNCTION("IMPORTRANGE(""https://docs.google.com/spreadsheets/d/1XL5vhW3sbDhbH9Cz0tuDiY8C3ctxq1tqvaCgkFb8cCA/edit?usp=sharing"",""อำนาจเจริญ!M300"")"),0)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IFERROR(__xludf.DUMMYFUNCTION("IMPORTRANGE(""https://docs.google.com/spreadsheets/d/1XL5vhW3sbDhbH9Cz0tuDiY8C3ctxq1tqvaCgkFb8cCA/edit?usp=sharing"",""อำนาจเจริญ!L301"")"),172290)</f>
        <v>172290</v>
      </c>
      <c r="M406" s="170"/>
      <c r="N406" s="170">
        <f ca="1">IFERROR(__xludf.DUMMYFUNCTION("IMPORTRANGE(""https://docs.google.com/spreadsheets/d/1XL5vhW3sbDhbH9Cz0tuDiY8C3ctxq1tqvaCgkFb8cCA/edit?usp=sharing"",""อำนาจเจริญ!M301"")"),18230)</f>
        <v>18230</v>
      </c>
      <c r="O406" s="170">
        <f t="shared" ca="1" si="112"/>
        <v>10.580997155957977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IFERROR(__xludf.DUMMYFUNCTION("IMPORTRANGE(""https://docs.google.com/spreadsheets/d/1XL5vhW3sbDhbH9Cz0tuDiY8C3ctxq1tqvaCgkFb8cCA/edit?usp=sharing"",""อำนาจเจริญ!M302"")"),18230)</f>
        <v>18230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IFERROR(__xludf.DUMMYFUNCTION("IMPORTRANGE(""https://docs.google.com/spreadsheets/d/1XL5vhW3sbDhbH9Cz0tuDiY8C3ctxq1tqvaCgkFb8cCA/edit?usp=sharing"",""อำนาจเจริญ!M303"")"),0)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IFERROR(__xludf.DUMMYFUNCTION("IMPORTRANGE(""https://docs.google.com/spreadsheets/d/1XL5vhW3sbDhbH9Cz0tuDiY8C3ctxq1tqvaCgkFb8cCA/edit?usp=sharing"",""อำนาจเจริญ!M305"")"),0)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IFERROR(__xludf.DUMMYFUNCTION("IMPORTRANGE(""https://docs.google.com/spreadsheets/d/1XL5vhW3sbDhbH9Cz0tuDiY8C3ctxq1tqvaCgkFb8cCA/edit?usp=sharing"",""อำนาจเจริญ!J307"")"),0)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IFERROR(__xludf.DUMMYFUNCTION("IMPORTRANGE(""https://docs.google.com/spreadsheets/d/1XL5vhW3sbDhbH9Cz0tuDiY8C3ctxq1tqvaCgkFb8cCA/edit?usp=sharing"",""อำนาจเจริญ!J308"")"),1)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IFERROR(__xludf.DUMMYFUNCTION("IMPORTRANGE(""https://docs.google.com/spreadsheets/d/1XL5vhW3sbDhbH9Cz0tuDiY8C3ctxq1tqvaCgkFb8cCA/edit?usp=sharing"",""อำนาจเจริญ!J309"")"),1)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IFERROR(__xludf.DUMMYFUNCTION("IMPORTRANGE(""https://docs.google.com/spreadsheets/d/1XL5vhW3sbDhbH9Cz0tuDiY8C3ctxq1tqvaCgkFb8cCA/edit?usp=sharing"",""อำนาจเจริญ!J310"")"),1)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IFERROR(__xludf.DUMMYFUNCTION("IMPORTRANGE(""https://docs.google.com/spreadsheets/d/1XL5vhW3sbDhbH9Cz0tuDiY8C3ctxq1tqvaCgkFb8cCA/edit?usp=sharing"",""อำนาจเจริญ!I311"")"),55)</f>
        <v>55</v>
      </c>
      <c r="J416" s="202">
        <f ca="1">IFERROR(__xludf.DUMMYFUNCTION("IMPORTRANGE(""https://docs.google.com/spreadsheets/d/1XL5vhW3sbDhbH9Cz0tuDiY8C3ctxq1tqvaCgkFb8cCA/edit?usp=sharing"",""อำนาจเจริญ!J311"")"),25)</f>
        <v>25</v>
      </c>
      <c r="K416" s="203">
        <f t="shared" ref="K416:K432" ca="1" si="113">IF(I416&gt;0,J416*100/I416,0)</f>
        <v>45.454545454545453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IFERROR(__xludf.DUMMYFUNCTION("IMPORTRANGE(""https://docs.google.com/spreadsheets/d/1XL5vhW3sbDhbH9Cz0tuDiY8C3ctxq1tqvaCgkFb8cCA/edit?usp=sharing"",""อำนาจเจริญ!J328"")"),0)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IFERROR(__xludf.DUMMYFUNCTION("IMPORTRANGE(""https://docs.google.com/spreadsheets/d/1XL5vhW3sbDhbH9Cz0tuDiY8C3ctxq1tqvaCgkFb8cCA/edit?usp=sharing"",""อำนาจเจริญ!M330"")"),35940)</f>
        <v>35940</v>
      </c>
      <c r="O435" s="412">
        <f t="shared" ref="O435:O439" ca="1" si="114">+IF(L435&gt;0,N435*100/L435,0)</f>
        <v>33.905660377358494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IFERROR(__xludf.DUMMYFUNCTION("IMPORTRANGE(""https://docs.google.com/spreadsheets/d/1XL5vhW3sbDhbH9Cz0tuDiY8C3ctxq1tqvaCgkFb8cCA/edit?usp=sharing"",""อำนาจเจริญ!L331"")"),0)</f>
        <v>0</v>
      </c>
      <c r="M436" s="166"/>
      <c r="N436" s="170">
        <f ca="1">IFERROR(__xludf.DUMMYFUNCTION("IMPORTRANGE(""https://docs.google.com/spreadsheets/d/1XL5vhW3sbDhbH9Cz0tuDiY8C3ctxq1tqvaCgkFb8cCA/edit?usp=sharing"",""อำนาจเจริญ!M331"")"),0)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7"/>
      <c r="N437" s="170">
        <f ca="1">IFERROR(__xludf.DUMMYFUNCTION("IMPORTRANGE(""https://docs.google.com/spreadsheets/d/1XL5vhW3sbDhbH9Cz0tuDiY8C3ctxq1tqvaCgkFb8cCA/edit?usp=sharing"",""อำนาจเจริญ!M332"")"),35940)</f>
        <v>35940</v>
      </c>
      <c r="O437" s="170">
        <f t="shared" ca="1" si="114"/>
        <v>33.905660377358494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IFERROR(__xludf.DUMMYFUNCTION("IMPORTRANGE(""https://docs.google.com/spreadsheets/d/1XL5vhW3sbDhbH9Cz0tuDiY8C3ctxq1tqvaCgkFb8cCA/edit?usp=sharing"",""อำนาจเจริญ!L333"")"),0)</f>
        <v>0</v>
      </c>
      <c r="M438" s="170"/>
      <c r="N438" s="170">
        <f ca="1">IFERROR(__xludf.DUMMYFUNCTION("IMPORTRANGE(""https://docs.google.com/spreadsheets/d/1XL5vhW3sbDhbH9Cz0tuDiY8C3ctxq1tqvaCgkFb8cCA/edit?usp=sharing"",""อำนาจเจริญ!M333"")"),0)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IFERROR(__xludf.DUMMYFUNCTION("IMPORTRANGE(""https://docs.google.com/spreadsheets/d/1XL5vhW3sbDhbH9Cz0tuDiY8C3ctxq1tqvaCgkFb8cCA/edit?usp=sharing"",""อำนาจเจริญ!L334"")"),106000)</f>
        <v>106000</v>
      </c>
      <c r="M439" s="170"/>
      <c r="N439" s="170">
        <f ca="1">IFERROR(__xludf.DUMMYFUNCTION("IMPORTRANGE(""https://docs.google.com/spreadsheets/d/1XL5vhW3sbDhbH9Cz0tuDiY8C3ctxq1tqvaCgkFb8cCA/edit?usp=sharing"",""อำนาจเจริญ!M334"")"),35940)</f>
        <v>35940</v>
      </c>
      <c r="O439" s="170">
        <f t="shared" ca="1" si="114"/>
        <v>33.905660377358494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IFERROR(__xludf.DUMMYFUNCTION("IMPORTRANGE(""https://docs.google.com/spreadsheets/d/1XL5vhW3sbDhbH9Cz0tuDiY8C3ctxq1tqvaCgkFb8cCA/edit?usp=sharing"",""อำนาจเจริญ!M335"")"),19200)</f>
        <v>19200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IFERROR(__xludf.DUMMYFUNCTION("IMPORTRANGE(""https://docs.google.com/spreadsheets/d/1XL5vhW3sbDhbH9Cz0tuDiY8C3ctxq1tqvaCgkFb8cCA/edit?usp=sharing"",""อำนาจเจริญ!M338"")"),16740)</f>
        <v>16740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IFERROR(__xludf.DUMMYFUNCTION("IMPORTRANGE(""https://docs.google.com/spreadsheets/d/1XL5vhW3sbDhbH9Cz0tuDiY8C3ctxq1tqvaCgkFb8cCA/edit?usp=sharing"",""อำนาจเจริญ!J342"")"),1)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IFERROR(__xludf.DUMMYFUNCTION("IMPORTRANGE(""https://docs.google.com/spreadsheets/d/1XL5vhW3sbDhbH9Cz0tuDiY8C3ctxq1tqvaCgkFb8cCA/edit?usp=sharing"",""อำนาจเจริญ!J343"")"),1)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2">
        <f ca="1">IFERROR(__xludf.DUMMYFUNCTION("IMPORTRANGE(""https://docs.google.com/spreadsheets/d/1XL5vhW3sbDhbH9Cz0tuDiY8C3ctxq1tqvaCgkFb8cCA/edit?usp=sharing"",""อำนาจเจริญ!J344"")"),15)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IFERROR(__xludf.DUMMYFUNCTION("IMPORTRANGE(""https://docs.google.com/spreadsheets/d/1XL5vhW3sbDhbH9Cz0tuDiY8C3ctxq1tqvaCgkFb8cCA/edit?usp=sharing"",""อำนาจเจริญ!I345"")"),15)</f>
        <v>15</v>
      </c>
      <c r="J450" s="190">
        <f ca="1">IFERROR(__xludf.DUMMYFUNCTION("IMPORTRANGE(""https://docs.google.com/spreadsheets/d/1XL5vhW3sbDhbH9Cz0tuDiY8C3ctxq1tqvaCgkFb8cCA/edit?usp=sharing"",""อำนาจเจริญ!J345"")"),15)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IFERROR(__xludf.DUMMYFUNCTION("IMPORTRANGE(""https://docs.google.com/spreadsheets/d/1XL5vhW3sbDhbH9Cz0tuDiY8C3ctxq1tqvaCgkFb8cCA/edit?usp=sharing"",""อำนาจเจริญ!I346"")"),0)</f>
        <v>0</v>
      </c>
      <c r="J451" s="189">
        <f ca="1">IFERROR(__xludf.DUMMYFUNCTION("IMPORTRANGE(""https://docs.google.com/spreadsheets/d/1XL5vhW3sbDhbH9Cz0tuDiY8C3ctxq1tqvaCgkFb8cCA/edit?usp=sharing"",""อำนาจเจริญ!J346"")"),0)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IFERROR(__xludf.DUMMYFUNCTION("IMPORTRANGE(""https://docs.google.com/spreadsheets/d/1XL5vhW3sbDhbH9Cz0tuDiY8C3ctxq1tqvaCgkFb8cCA/edit?usp=sharing"",""อำนาจเจริญ!I347"")"),0)</f>
        <v>0</v>
      </c>
      <c r="J452" s="189">
        <f ca="1">IFERROR(__xludf.DUMMYFUNCTION("IMPORTRANGE(""https://docs.google.com/spreadsheets/d/1XL5vhW3sbDhbH9Cz0tuDiY8C3ctxq1tqvaCgkFb8cCA/edit?usp=sharing"",""อำนาจเจริญ!J347"")"),0)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IFERROR(__xludf.DUMMYFUNCTION("IMPORTRANGE(""https://docs.google.com/spreadsheets/d/1XL5vhW3sbDhbH9Cz0tuDiY8C3ctxq1tqvaCgkFb8cCA/edit?usp=sharing"",""อำนาจเจริญ!J348"")"),0)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IFERROR(__xludf.DUMMYFUNCTION("IMPORTRANGE(""https://docs.google.com/spreadsheets/d/1XL5vhW3sbDhbH9Cz0tuDiY8C3ctxq1tqvaCgkFb8cCA/edit?usp=sharing"",""อำนาจเจริญ!J349"")"),0)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IFERROR(__xludf.DUMMYFUNCTION("IMPORTRANGE(""https://docs.google.com/spreadsheets/d/1XL5vhW3sbDhbH9Cz0tuDiY8C3ctxq1tqvaCgkFb8cCA/edit?usp=sharing"",""อำนาจเจริญ!L350"")"),173484)</f>
        <v>173484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IFERROR(__xludf.DUMMYFUNCTION("IMPORTRANGE(""https://docs.google.com/spreadsheets/d/1XL5vhW3sbDhbH9Cz0tuDiY8C3ctxq1tqvaCgkFb8cCA/edit?usp=sharing"",""อำนาจเจริญ!M350"")"),2920)</f>
        <v>2920</v>
      </c>
      <c r="O455" s="373">
        <f t="shared" ref="O455:O459" ca="1" si="116">+IF(L455&gt;0,N455*100/L455,0)</f>
        <v>1.6831523368149224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IFERROR(__xludf.DUMMYFUNCTION("IMPORTRANGE(""https://docs.google.com/spreadsheets/d/1XL5vhW3sbDhbH9Cz0tuDiY8C3ctxq1tqvaCgkFb8cCA/edit?usp=sharing"",""อำนาจเจริญ!L351"")"),0)</f>
        <v>0</v>
      </c>
      <c r="M456" s="166"/>
      <c r="N456" s="170">
        <f ca="1">IFERROR(__xludf.DUMMYFUNCTION("IMPORTRANGE(""https://docs.google.com/spreadsheets/d/1XL5vhW3sbDhbH9Cz0tuDiY8C3ctxq1tqvaCgkFb8cCA/edit?usp=sharing"",""อำนาจเจริญ!M351"")"),0)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IFERROR(__xludf.DUMMYFUNCTION("IMPORTRANGE(""https://docs.google.com/spreadsheets/d/1XL5vhW3sbDhbH9Cz0tuDiY8C3ctxq1tqvaCgkFb8cCA/edit?usp=sharing"",""อำนาจเจริญ!L352"")"),173484)</f>
        <v>173484</v>
      </c>
      <c r="M457" s="167"/>
      <c r="N457" s="170">
        <f ca="1">IFERROR(__xludf.DUMMYFUNCTION("IMPORTRANGE(""https://docs.google.com/spreadsheets/d/1XL5vhW3sbDhbH9Cz0tuDiY8C3ctxq1tqvaCgkFb8cCA/edit?usp=sharing"",""อำนาจเจริญ!M352"")"),2920)</f>
        <v>2920</v>
      </c>
      <c r="O457" s="170">
        <f t="shared" ca="1" si="116"/>
        <v>1.6831523368149224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IFERROR(__xludf.DUMMYFUNCTION("IMPORTRANGE(""https://docs.google.com/spreadsheets/d/1XL5vhW3sbDhbH9Cz0tuDiY8C3ctxq1tqvaCgkFb8cCA/edit?usp=sharing"",""อำนาจเจริญ!L353"")"),0)</f>
        <v>0</v>
      </c>
      <c r="M458" s="170"/>
      <c r="N458" s="170">
        <f ca="1">IFERROR(__xludf.DUMMYFUNCTION("IMPORTRANGE(""https://docs.google.com/spreadsheets/d/1XL5vhW3sbDhbH9Cz0tuDiY8C3ctxq1tqvaCgkFb8cCA/edit?usp=sharing"",""อำนาจเจริญ!M353"")"),0)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IFERROR(__xludf.DUMMYFUNCTION("IMPORTRANGE(""https://docs.google.com/spreadsheets/d/1XL5vhW3sbDhbH9Cz0tuDiY8C3ctxq1tqvaCgkFb8cCA/edit?usp=sharing"",""อำนาจเจริญ!L354"")"),173484)</f>
        <v>173484</v>
      </c>
      <c r="M459" s="170"/>
      <c r="N459" s="170">
        <f ca="1">IFERROR(__xludf.DUMMYFUNCTION("IMPORTRANGE(""https://docs.google.com/spreadsheets/d/1XL5vhW3sbDhbH9Cz0tuDiY8C3ctxq1tqvaCgkFb8cCA/edit?usp=sharing"",""อำนาจเจริญ!M354"")"),2920)</f>
        <v>2920</v>
      </c>
      <c r="O459" s="170">
        <f t="shared" ca="1" si="116"/>
        <v>1.6831523368149224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IFERROR(__xludf.DUMMYFUNCTION("IMPORTRANGE(""https://docs.google.com/spreadsheets/d/1XL5vhW3sbDhbH9Cz0tuDiY8C3ctxq1tqvaCgkFb8cCA/edit?usp=sharing"",""อำนาจเจริญ!M355"")"),0)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IFERROR(__xludf.DUMMYFUNCTION("IMPORTRANGE(""https://docs.google.com/spreadsheets/d/1XL5vhW3sbDhbH9Cz0tuDiY8C3ctxq1tqvaCgkFb8cCA/edit?usp=sharing"",""อำนาจเจริญ!M356"")"),0)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IFERROR(__xludf.DUMMYFUNCTION("IMPORTRANGE(""https://docs.google.com/spreadsheets/d/1XL5vhW3sbDhbH9Cz0tuDiY8C3ctxq1tqvaCgkFb8cCA/edit?usp=sharing"",""อำนาจเจริญ!M358"")"),2920)</f>
        <v>2920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3">
        <f t="shared" ca="1" si="117"/>
        <v>99.992599718789307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IFERROR(__xludf.DUMMYFUNCTION("IMPORTRANGE(""https://docs.google.com/spreadsheets/d/1XL5vhW3sbDhbH9Cz0tuDiY8C3ctxq1tqvaCgkFb8cCA/edit?usp=sharing"",""อำนาจเจริญ!I362"")"),0)</f>
        <v>0</v>
      </c>
      <c r="J467" s="190">
        <f ca="1">IFERROR(__xludf.DUMMYFUNCTION("IMPORTRANGE(""https://docs.google.com/spreadsheets/d/1XL5vhW3sbDhbH9Cz0tuDiY8C3ctxq1tqvaCgkFb8cCA/edit?usp=sharing"",""อำนาจเจริญ!J362"")"),10197)</f>
        <v>10197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IFERROR(__xludf.DUMMYFUNCTION("IMPORTRANGE(""https://docs.google.com/spreadsheets/d/1XL5vhW3sbDhbH9Cz0tuDiY8C3ctxq1tqvaCgkFb8cCA/edit?usp=sharing"",""อำนาจเจริญ!I363"")"),0)</f>
        <v>0</v>
      </c>
      <c r="J468" s="190">
        <f ca="1">IFERROR(__xludf.DUMMYFUNCTION("IMPORTRANGE(""https://docs.google.com/spreadsheets/d/1XL5vhW3sbDhbH9Cz0tuDiY8C3ctxq1tqvaCgkFb8cCA/edit?usp=sharing"",""อำนาจเจริญ!J363"")"),2542)</f>
        <v>2542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IFERROR(__xludf.DUMMYFUNCTION("IMPORTRANGE(""https://docs.google.com/spreadsheets/d/1XL5vhW3sbDhbH9Cz0tuDiY8C3ctxq1tqvaCgkFb8cCA/edit?usp=sharing"",""อำนาจเจริญ!I364"")"),0)</f>
        <v>0</v>
      </c>
      <c r="J469" s="190">
        <f ca="1">IFERROR(__xludf.DUMMYFUNCTION("IMPORTRANGE(""https://docs.google.com/spreadsheets/d/1XL5vhW3sbDhbH9Cz0tuDiY8C3ctxq1tqvaCgkFb8cCA/edit?usp=sharing"",""อำนาจเจริญ!J364"")"),3120)</f>
        <v>3120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IFERROR(__xludf.DUMMYFUNCTION("IMPORTRANGE(""https://docs.google.com/spreadsheets/d/1XL5vhW3sbDhbH9Cz0tuDiY8C3ctxq1tqvaCgkFb8cCA/edit?usp=sharing"",""อำนาจเจริญ!I365"")"),0)</f>
        <v>0</v>
      </c>
      <c r="J470" s="190">
        <f ca="1">IFERROR(__xludf.DUMMYFUNCTION("IMPORTRANGE(""https://docs.google.com/spreadsheets/d/1XL5vhW3sbDhbH9Cz0tuDiY8C3ctxq1tqvaCgkFb8cCA/edit?usp=sharing"",""อำนาจเจริญ!J365"")"),804)</f>
        <v>804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IFERROR(__xludf.DUMMYFUNCTION("IMPORTRANGE(""https://docs.google.com/spreadsheets/d/1XL5vhW3sbDhbH9Cz0tuDiY8C3ctxq1tqvaCgkFb8cCA/edit?usp=sharing"",""อำนาจเจริญ!I366"")"),0)</f>
        <v>0</v>
      </c>
      <c r="J471" s="190">
        <f ca="1">IFERROR(__xludf.DUMMYFUNCTION("IMPORTRANGE(""https://docs.google.com/spreadsheets/d/1XL5vhW3sbDhbH9Cz0tuDiY8C3ctxq1tqvaCgkFb8cCA/edit?usp=sharing"",""อำนาจเจริญ!J366"")"),195)</f>
        <v>195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IFERROR(__xludf.DUMMYFUNCTION("IMPORTRANGE(""https://docs.google.com/spreadsheets/d/1XL5vhW3sbDhbH9Cz0tuDiY8C3ctxq1tqvaCgkFb8cCA/edit?usp=sharing"",""อำนาจเจริญ!I367"")"),0)</f>
        <v>0</v>
      </c>
      <c r="J472" s="190">
        <f ca="1">IFERROR(__xludf.DUMMYFUNCTION("IMPORTRANGE(""https://docs.google.com/spreadsheets/d/1XL5vhW3sbDhbH9Cz0tuDiY8C3ctxq1tqvaCgkFb8cCA/edit?usp=sharing"",""อำนาจเจริญ!J367"")"),57)</f>
        <v>57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IFERROR(__xludf.DUMMYFUNCTION("IMPORTRANGE(""https://docs.google.com/spreadsheets/d/1XL5vhW3sbDhbH9Cz0tuDiY8C3ctxq1tqvaCgkFb8cCA/edit?usp=sharing"",""อำนาจเจริญ!I370"")"),0)</f>
        <v>0</v>
      </c>
      <c r="J475" s="190">
        <f ca="1">IFERROR(__xludf.DUMMYFUNCTION("IMPORTRANGE(""https://docs.google.com/spreadsheets/d/1XL5vhW3sbDhbH9Cz0tuDiY8C3ctxq1tqvaCgkFb8cCA/edit?usp=sharing"",""อำนาจเจริญ!J370"")"),0)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IFERROR(__xludf.DUMMYFUNCTION("IMPORTRANGE(""https://docs.google.com/spreadsheets/d/1XL5vhW3sbDhbH9Cz0tuDiY8C3ctxq1tqvaCgkFb8cCA/edit?usp=sharing"",""อำนาจเจริญ!I371"")"),0)</f>
        <v>0</v>
      </c>
      <c r="J476" s="190">
        <f ca="1">IFERROR(__xludf.DUMMYFUNCTION("IMPORTRANGE(""https://docs.google.com/spreadsheets/d/1XL5vhW3sbDhbH9Cz0tuDiY8C3ctxq1tqvaCgkFb8cCA/edit?usp=sharing"",""อำนาจเจริญ!J371"")"),0)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IFERROR(__xludf.DUMMYFUNCTION("IMPORTRANGE(""https://docs.google.com/spreadsheets/d/1XL5vhW3sbDhbH9Cz0tuDiY8C3ctxq1tqvaCgkFb8cCA/edit?usp=sharing"",""อำนาจเจริญ!I372"")"),0)</f>
        <v>0</v>
      </c>
      <c r="J477" s="190">
        <f ca="1">IFERROR(__xludf.DUMMYFUNCTION("IMPORTRANGE(""https://docs.google.com/spreadsheets/d/1XL5vhW3sbDhbH9Cz0tuDiY8C3ctxq1tqvaCgkFb8cCA/edit?usp=sharing"",""อำนาจเจริญ!J372"")"),0)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IFERROR(__xludf.DUMMYFUNCTION("IMPORTRANGE(""https://docs.google.com/spreadsheets/d/1XL5vhW3sbDhbH9Cz0tuDiY8C3ctxq1tqvaCgkFb8cCA/edit?usp=sharing"",""อำนาจเจริญ!I373"")"),0)</f>
        <v>0</v>
      </c>
      <c r="J478" s="190">
        <f ca="1">IFERROR(__xludf.DUMMYFUNCTION("IMPORTRANGE(""https://docs.google.com/spreadsheets/d/1XL5vhW3sbDhbH9Cz0tuDiY8C3ctxq1tqvaCgkFb8cCA/edit?usp=sharing"",""อำนาจเจริญ!J373"")"),0)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IFERROR(__xludf.DUMMYFUNCTION("IMPORTRANGE(""https://docs.google.com/spreadsheets/d/1XL5vhW3sbDhbH9Cz0tuDiY8C3ctxq1tqvaCgkFb8cCA/edit?usp=sharing"",""อำนาจเจริญ!I374"")"),0)</f>
        <v>0</v>
      </c>
      <c r="J479" s="190">
        <f ca="1">IFERROR(__xludf.DUMMYFUNCTION("IMPORTRANGE(""https://docs.google.com/spreadsheets/d/1XL5vhW3sbDhbH9Cz0tuDiY8C3ctxq1tqvaCgkFb8cCA/edit?usp=sharing"",""อำนาจเจริญ!J374"")"),0)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IFERROR(__xludf.DUMMYFUNCTION("IMPORTRANGE(""https://docs.google.com/spreadsheets/d/1XL5vhW3sbDhbH9Cz0tuDiY8C3ctxq1tqvaCgkFb8cCA/edit?usp=sharing"",""อำนาจเจริญ!I375"")"),0)</f>
        <v>0</v>
      </c>
      <c r="J480" s="190">
        <f ca="1">IFERROR(__xludf.DUMMYFUNCTION("IMPORTRANGE(""https://docs.google.com/spreadsheets/d/1XL5vhW3sbDhbH9Cz0tuDiY8C3ctxq1tqvaCgkFb8cCA/edit?usp=sharing"",""อำนาจเจริญ!J375"")"),0)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IFERROR(__xludf.DUMMYFUNCTION("IMPORTRANGE(""https://docs.google.com/spreadsheets/d/1XL5vhW3sbDhbH9Cz0tuDiY8C3ctxq1tqvaCgkFb8cCA/edit?usp=sharing"",""อำนาจเจริญ!I378"")"),0)</f>
        <v>0</v>
      </c>
      <c r="J483" s="190">
        <f ca="1">IFERROR(__xludf.DUMMYFUNCTION("IMPORTRANGE(""https://docs.google.com/spreadsheets/d/1XL5vhW3sbDhbH9Cz0tuDiY8C3ctxq1tqvaCgkFb8cCA/edit?usp=sharing"",""อำนาจเจริญ!J378"")"),0)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IFERROR(__xludf.DUMMYFUNCTION("IMPORTRANGE(""https://docs.google.com/spreadsheets/d/1XL5vhW3sbDhbH9Cz0tuDiY8C3ctxq1tqvaCgkFb8cCA/edit?usp=sharing"",""อำนาจเจริญ!I379"")"),0)</f>
        <v>0</v>
      </c>
      <c r="J484" s="190">
        <f ca="1">IFERROR(__xludf.DUMMYFUNCTION("IMPORTRANGE(""https://docs.google.com/spreadsheets/d/1XL5vhW3sbDhbH9Cz0tuDiY8C3ctxq1tqvaCgkFb8cCA/edit?usp=sharing"",""อำนาจเจริญ!J379"")"),0)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IFERROR(__xludf.DUMMYFUNCTION("IMPORTRANGE(""https://docs.google.com/spreadsheets/d/1XL5vhW3sbDhbH9Cz0tuDiY8C3ctxq1tqvaCgkFb8cCA/edit?usp=sharing"",""อำนาจเจริญ!I380"")"),0)</f>
        <v>0</v>
      </c>
      <c r="J485" s="190">
        <f ca="1">IFERROR(__xludf.DUMMYFUNCTION("IMPORTRANGE(""https://docs.google.com/spreadsheets/d/1XL5vhW3sbDhbH9Cz0tuDiY8C3ctxq1tqvaCgkFb8cCA/edit?usp=sharing"",""อำนาจเจริญ!J380"")"),0)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IFERROR(__xludf.DUMMYFUNCTION("IMPORTRANGE(""https://docs.google.com/spreadsheets/d/1XL5vhW3sbDhbH9Cz0tuDiY8C3ctxq1tqvaCgkFb8cCA/edit?usp=sharing"",""อำนาจเจริญ!I381"")"),0)</f>
        <v>0</v>
      </c>
      <c r="J486" s="190">
        <f ca="1">IFERROR(__xludf.DUMMYFUNCTION("IMPORTRANGE(""https://docs.google.com/spreadsheets/d/1XL5vhW3sbDhbH9Cz0tuDiY8C3ctxq1tqvaCgkFb8cCA/edit?usp=sharing"",""อำนาจเจริญ!J381"")"),0)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IFERROR(__xludf.DUMMYFUNCTION("IMPORTRANGE(""https://docs.google.com/spreadsheets/d/1XL5vhW3sbDhbH9Cz0tuDiY8C3ctxq1tqvaCgkFb8cCA/edit?usp=sharing"",""อำนาจเจริญ!I384"")"),0)</f>
        <v>0</v>
      </c>
      <c r="J489" s="190">
        <f ca="1">IFERROR(__xludf.DUMMYFUNCTION("IMPORTRANGE(""https://docs.google.com/spreadsheets/d/1XL5vhW3sbDhbH9Cz0tuDiY8C3ctxq1tqvaCgkFb8cCA/edit?usp=sharing"",""อำนาจเจริญ!J384"")"),0)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IFERROR(__xludf.DUMMYFUNCTION("IMPORTRANGE(""https://docs.google.com/spreadsheets/d/1XL5vhW3sbDhbH9Cz0tuDiY8C3ctxq1tqvaCgkFb8cCA/edit?usp=sharing"",""อำนาจเจริญ!I385"")"),0)</f>
        <v>0</v>
      </c>
      <c r="J490" s="190">
        <f ca="1">IFERROR(__xludf.DUMMYFUNCTION("IMPORTRANGE(""https://docs.google.com/spreadsheets/d/1XL5vhW3sbDhbH9Cz0tuDiY8C3ctxq1tqvaCgkFb8cCA/edit?usp=sharing"",""อำนาจเจริญ!J385"")"),0)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IFERROR(__xludf.DUMMYFUNCTION("IMPORTRANGE(""https://docs.google.com/spreadsheets/d/1XL5vhW3sbDhbH9Cz0tuDiY8C3ctxq1tqvaCgkFb8cCA/edit?usp=sharing"",""อำนาจเจริญ!I386"")"),0)</f>
        <v>0</v>
      </c>
      <c r="J491" s="190">
        <f ca="1">IFERROR(__xludf.DUMMYFUNCTION("IMPORTRANGE(""https://docs.google.com/spreadsheets/d/1XL5vhW3sbDhbH9Cz0tuDiY8C3ctxq1tqvaCgkFb8cCA/edit?usp=sharing"",""อำนาจเจริญ!J386"")"),0)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IFERROR(__xludf.DUMMYFUNCTION("IMPORTRANGE(""https://docs.google.com/spreadsheets/d/1XL5vhW3sbDhbH9Cz0tuDiY8C3ctxq1tqvaCgkFb8cCA/edit?usp=sharing"",""อำนาจเจริญ!I387"")"),0)</f>
        <v>0</v>
      </c>
      <c r="J492" s="190">
        <f ca="1">IFERROR(__xludf.DUMMYFUNCTION("IMPORTRANGE(""https://docs.google.com/spreadsheets/d/1XL5vhW3sbDhbH9Cz0tuDiY8C3ctxq1tqvaCgkFb8cCA/edit?usp=sharing"",""อำนาจเจริญ!J387"")"),0)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IFERROR(__xludf.DUMMYFUNCTION("IMPORTRANGE(""https://docs.google.com/spreadsheets/d/1XL5vhW3sbDhbH9Cz0tuDiY8C3ctxq1tqvaCgkFb8cCA/edit?usp=sharing"",""อำนาจเจริญ!I388"")"),0)</f>
        <v>0</v>
      </c>
      <c r="J493" s="190">
        <f ca="1">IFERROR(__xludf.DUMMYFUNCTION("IMPORTRANGE(""https://docs.google.com/spreadsheets/d/1XL5vhW3sbDhbH9Cz0tuDiY8C3ctxq1tqvaCgkFb8cCA/edit?usp=sharing"",""อำนาจเจริญ!J388"")"),0)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IFERROR(__xludf.DUMMYFUNCTION("IMPORTRANGE(""https://docs.google.com/spreadsheets/d/1XL5vhW3sbDhbH9Cz0tuDiY8C3ctxq1tqvaCgkFb8cCA/edit?usp=sharing"",""อำนาจเจริญ!I392"")"),1217)</f>
        <v>1217</v>
      </c>
      <c r="J497" s="443">
        <f ca="1">IFERROR(__xludf.DUMMYFUNCTION("IMPORTRANGE(""https://docs.google.com/spreadsheets/d/1XL5vhW3sbDhbH9Cz0tuDiY8C3ctxq1tqvaCgkFb8cCA/edit?usp=sharing"",""อำนาจเจริญ!J392"")"),462)</f>
        <v>462</v>
      </c>
      <c r="K497" s="444">
        <f t="shared" ca="1" si="117"/>
        <v>37.962202136400983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IFERROR(__xludf.DUMMYFUNCTION("IMPORTRANGE(""https://docs.google.com/spreadsheets/d/1XL5vhW3sbDhbH9Cz0tuDiY8C3ctxq1tqvaCgkFb8cCA/edit?usp=sharing"",""อำนาจเจริญ!J393"")"),462)</f>
        <v>462</v>
      </c>
      <c r="K498" s="165">
        <f t="shared" ca="1" si="117"/>
        <v>37.962202136400983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IFERROR(__xludf.DUMMYFUNCTION("IMPORTRANGE(""https://docs.google.com/spreadsheets/d/1XL5vhW3sbDhbH9Cz0tuDiY8C3ctxq1tqvaCgkFb8cCA/edit?usp=sharing"",""อำนาจเจริญ!J394"")"),41)</f>
        <v>41</v>
      </c>
      <c r="K499" s="203">
        <f t="shared" ca="1" si="117"/>
        <v>38.679245283018865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IFERROR(__xludf.DUMMYFUNCTION("IMPORTRANGE(""https://docs.google.com/spreadsheets/d/1XL5vhW3sbDhbH9Cz0tuDiY8C3ctxq1tqvaCgkFb8cCA/edit?usp=sharing"",""อำนาจเจริญ!I395"")"),0)</f>
        <v>0</v>
      </c>
      <c r="J500" s="164">
        <f ca="1">IFERROR(__xludf.DUMMYFUNCTION("IMPORTRANGE(""https://docs.google.com/spreadsheets/d/1XL5vhW3sbDhbH9Cz0tuDiY8C3ctxq1tqvaCgkFb8cCA/edit?usp=sharing"",""อำนาจเจริญ!J395"")"),461)</f>
        <v>461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IFERROR(__xludf.DUMMYFUNCTION("IMPORTRANGE(""https://docs.google.com/spreadsheets/d/1XL5vhW3sbDhbH9Cz0tuDiY8C3ctxq1tqvaCgkFb8cCA/edit?usp=sharing"",""อำนาจเจริญ!I396"")"),0)</f>
        <v>0</v>
      </c>
      <c r="J501" s="164">
        <f ca="1">IFERROR(__xludf.DUMMYFUNCTION("IMPORTRANGE(""https://docs.google.com/spreadsheets/d/1XL5vhW3sbDhbH9Cz0tuDiY8C3ctxq1tqvaCgkFb8cCA/edit?usp=sharing"",""อำนาจเจริญ!J396"")"),31)</f>
        <v>31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IFERROR(__xludf.DUMMYFUNCTION("IMPORTRANGE(""https://docs.google.com/spreadsheets/d/1XL5vhW3sbDhbH9Cz0tuDiY8C3ctxq1tqvaCgkFb8cCA/edit?usp=sharing"",""อำนาจเจริญ!I397"")"),0)</f>
        <v>0</v>
      </c>
      <c r="J502" s="190">
        <f ca="1">IFERROR(__xludf.DUMMYFUNCTION("IMPORTRANGE(""https://docs.google.com/spreadsheets/d/1XL5vhW3sbDhbH9Cz0tuDiY8C3ctxq1tqvaCgkFb8cCA/edit?usp=sharing"",""อำนาจเจริญ!J397"")"),461)</f>
        <v>461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IFERROR(__xludf.DUMMYFUNCTION("IMPORTRANGE(""https://docs.google.com/spreadsheets/d/1XL5vhW3sbDhbH9Cz0tuDiY8C3ctxq1tqvaCgkFb8cCA/edit?usp=sharing"",""อำนาจเจริญ!I398"")"),0)</f>
        <v>0</v>
      </c>
      <c r="J503" s="199">
        <f ca="1">IFERROR(__xludf.DUMMYFUNCTION("IMPORTRANGE(""https://docs.google.com/spreadsheets/d/1XL5vhW3sbDhbH9Cz0tuDiY8C3ctxq1tqvaCgkFb8cCA/edit?usp=sharing"",""อำนาจเจริญ!J398"")"),31)</f>
        <v>31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IFERROR(__xludf.DUMMYFUNCTION("IMPORTRANGE(""https://docs.google.com/spreadsheets/d/1XL5vhW3sbDhbH9Cz0tuDiY8C3ctxq1tqvaCgkFb8cCA/edit?usp=sharing"",""อำนาจเจริญ!I399"")"),0)</f>
        <v>0</v>
      </c>
      <c r="J504" s="190">
        <f ca="1">IFERROR(__xludf.DUMMYFUNCTION("IMPORTRANGE(""https://docs.google.com/spreadsheets/d/1XL5vhW3sbDhbH9Cz0tuDiY8C3ctxq1tqvaCgkFb8cCA/edit?usp=sharing"",""อำนาจเจริญ!J399"")"),0)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IFERROR(__xludf.DUMMYFUNCTION("IMPORTRANGE(""https://docs.google.com/spreadsheets/d/1XL5vhW3sbDhbH9Cz0tuDiY8C3ctxq1tqvaCgkFb8cCA/edit?usp=sharing"",""อำนาจเจริญ!I400"")"),0)</f>
        <v>0</v>
      </c>
      <c r="J505" s="199">
        <f ca="1">IFERROR(__xludf.DUMMYFUNCTION("IMPORTRANGE(""https://docs.google.com/spreadsheets/d/1XL5vhW3sbDhbH9Cz0tuDiY8C3ctxq1tqvaCgkFb8cCA/edit?usp=sharing"",""อำนาจเจริญ!J400"")"),0)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IFERROR(__xludf.DUMMYFUNCTION("IMPORTRANGE(""https://docs.google.com/spreadsheets/d/1XL5vhW3sbDhbH9Cz0tuDiY8C3ctxq1tqvaCgkFb8cCA/edit?usp=sharing"",""อำนาจเจริญ!I401"")"),0)</f>
        <v>0</v>
      </c>
      <c r="J506" s="190">
        <f ca="1">IFERROR(__xludf.DUMMYFUNCTION("IMPORTRANGE(""https://docs.google.com/spreadsheets/d/1XL5vhW3sbDhbH9Cz0tuDiY8C3ctxq1tqvaCgkFb8cCA/edit?usp=sharing"",""อำนาจเจริญ!J401"")"),0)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IFERROR(__xludf.DUMMYFUNCTION("IMPORTRANGE(""https://docs.google.com/spreadsheets/d/1XL5vhW3sbDhbH9Cz0tuDiY8C3ctxq1tqvaCgkFb8cCA/edit?usp=sharing"",""อำนาจเจริญ!I402"")"),0)</f>
        <v>0</v>
      </c>
      <c r="J507" s="199">
        <f ca="1">IFERROR(__xludf.DUMMYFUNCTION("IMPORTRANGE(""https://docs.google.com/spreadsheets/d/1XL5vhW3sbDhbH9Cz0tuDiY8C3ctxq1tqvaCgkFb8cCA/edit?usp=sharing"",""อำนาจเจริญ!J402"")"),0)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IFERROR(__xludf.DUMMYFUNCTION("IMPORTRANGE(""https://docs.google.com/spreadsheets/d/1XL5vhW3sbDhbH9Cz0tuDiY8C3ctxq1tqvaCgkFb8cCA/edit?usp=sharing"",""อำนาจเจริญ!I403"")"),0)</f>
        <v>0</v>
      </c>
      <c r="J508" s="164">
        <f ca="1">IFERROR(__xludf.DUMMYFUNCTION("IMPORTRANGE(""https://docs.google.com/spreadsheets/d/1XL5vhW3sbDhbH9Cz0tuDiY8C3ctxq1tqvaCgkFb8cCA/edit?usp=sharing"",""อำนาจเจริญ!J403"")"),1)</f>
        <v>1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IFERROR(__xludf.DUMMYFUNCTION("IMPORTRANGE(""https://docs.google.com/spreadsheets/d/1XL5vhW3sbDhbH9Cz0tuDiY8C3ctxq1tqvaCgkFb8cCA/edit?usp=sharing"",""อำนาจเจริญ!I404"")"),0)</f>
        <v>0</v>
      </c>
      <c r="J509" s="164">
        <f ca="1">IFERROR(__xludf.DUMMYFUNCTION("IMPORTRANGE(""https://docs.google.com/spreadsheets/d/1XL5vhW3sbDhbH9Cz0tuDiY8C3ctxq1tqvaCgkFb8cCA/edit?usp=sharing"",""อำนาจเจริญ!J404"")"),10)</f>
        <v>10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IFERROR(__xludf.DUMMYFUNCTION("IMPORTRANGE(""https://docs.google.com/spreadsheets/d/1XL5vhW3sbDhbH9Cz0tuDiY8C3ctxq1tqvaCgkFb8cCA/edit?usp=sharing"",""อำนาจเจริญ!I405"")"),0)</f>
        <v>0</v>
      </c>
      <c r="J510" s="199">
        <f ca="1">IFERROR(__xludf.DUMMYFUNCTION("IMPORTRANGE(""https://docs.google.com/spreadsheets/d/1XL5vhW3sbDhbH9Cz0tuDiY8C3ctxq1tqvaCgkFb8cCA/edit?usp=sharing"",""อำนาจเจริญ!J405"")"),0)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IFERROR(__xludf.DUMMYFUNCTION("IMPORTRANGE(""https://docs.google.com/spreadsheets/d/1XL5vhW3sbDhbH9Cz0tuDiY8C3ctxq1tqvaCgkFb8cCA/edit?usp=sharing"",""อำนาจเจริญ!I406"")"),0)</f>
        <v>0</v>
      </c>
      <c r="J511" s="199">
        <f ca="1">IFERROR(__xludf.DUMMYFUNCTION("IMPORTRANGE(""https://docs.google.com/spreadsheets/d/1XL5vhW3sbDhbH9Cz0tuDiY8C3ctxq1tqvaCgkFb8cCA/edit?usp=sharing"",""อำนาจเจริญ!J406"")"),10)</f>
        <v>10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IFERROR(__xludf.DUMMYFUNCTION("IMPORTRANGE(""https://docs.google.com/spreadsheets/d/1XL5vhW3sbDhbH9Cz0tuDiY8C3ctxq1tqvaCgkFb8cCA/edit?usp=sharing"",""อำนาจเจริญ!I407"")"),0)</f>
        <v>0</v>
      </c>
      <c r="J512" s="199">
        <f ca="1">IFERROR(__xludf.DUMMYFUNCTION("IMPORTRANGE(""https://docs.google.com/spreadsheets/d/1XL5vhW3sbDhbH9Cz0tuDiY8C3ctxq1tqvaCgkFb8cCA/edit?usp=sharing"",""อำนาจเจริญ!J407"")"),1)</f>
        <v>1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IFERROR(__xludf.DUMMYFUNCTION("IMPORTRANGE(""https://docs.google.com/spreadsheets/d/1XL5vhW3sbDhbH9Cz0tuDiY8C3ctxq1tqvaCgkFb8cCA/edit?usp=sharing"",""อำนาจเจริญ!I408"")"),0)</f>
        <v>0</v>
      </c>
      <c r="J513" s="199">
        <f ca="1">IFERROR(__xludf.DUMMYFUNCTION("IMPORTRANGE(""https://docs.google.com/spreadsheets/d/1XL5vhW3sbDhbH9Cz0tuDiY8C3ctxq1tqvaCgkFb8cCA/edit?usp=sharing"",""อำนาจเจริญ!J408"")"),0)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IFERROR(__xludf.DUMMYFUNCTION("IMPORTRANGE(""https://docs.google.com/spreadsheets/d/1XL5vhW3sbDhbH9Cz0tuDiY8C3ctxq1tqvaCgkFb8cCA/edit?usp=sharing"",""อำนาจเจริญ!I409"")"),0)</f>
        <v>0</v>
      </c>
      <c r="J514" s="199">
        <f ca="1">IFERROR(__xludf.DUMMYFUNCTION("IMPORTRANGE(""https://docs.google.com/spreadsheets/d/1XL5vhW3sbDhbH9Cz0tuDiY8C3ctxq1tqvaCgkFb8cCA/edit?usp=sharing"",""อำนาจเจริญ!J409"")"),0)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IFERROR(__xludf.DUMMYFUNCTION("IMPORTRANGE(""https://docs.google.com/spreadsheets/d/1XL5vhW3sbDhbH9Cz0tuDiY8C3ctxq1tqvaCgkFb8cCA/edit?usp=sharing"",""อำนาจเจริญ!I410"")"),0)</f>
        <v>0</v>
      </c>
      <c r="J515" s="199">
        <f ca="1">IFERROR(__xludf.DUMMYFUNCTION("IMPORTRANGE(""https://docs.google.com/spreadsheets/d/1XL5vhW3sbDhbH9Cz0tuDiY8C3ctxq1tqvaCgkFb8cCA/edit?usp=sharing"",""อำนาจเจริญ!J410"")"),0)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IFERROR(__xludf.DUMMYFUNCTION("IMPORTRANGE(""https://docs.google.com/spreadsheets/d/1XL5vhW3sbDhbH9Cz0tuDiY8C3ctxq1tqvaCgkFb8cCA/edit?usp=sharing"",""อำนาจเจริญ!I412"")"),0)</f>
        <v>0</v>
      </c>
      <c r="J517" s="284">
        <f ca="1">IFERROR(__xludf.DUMMYFUNCTION("IMPORTRANGE(""https://docs.google.com/spreadsheets/d/1XL5vhW3sbDhbH9Cz0tuDiY8C3ctxq1tqvaCgkFb8cCA/edit?usp=sharing"",""อำนาจเจริญ!J412"")"),0)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IFERROR(__xludf.DUMMYFUNCTION("IMPORTRANGE(""https://docs.google.com/spreadsheets/d/1XL5vhW3sbDhbH9Cz0tuDiY8C3ctxq1tqvaCgkFb8cCA/edit?usp=sharing"",""อำนาจเจริญ!I413"")"),0)</f>
        <v>0</v>
      </c>
      <c r="J518" s="284">
        <f ca="1">IFERROR(__xludf.DUMMYFUNCTION("IMPORTRANGE(""https://docs.google.com/spreadsheets/d/1XL5vhW3sbDhbH9Cz0tuDiY8C3ctxq1tqvaCgkFb8cCA/edit?usp=sharing"",""อำนาจเจริญ!J413"")"),0)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IFERROR(__xludf.DUMMYFUNCTION("IMPORTRANGE(""https://docs.google.com/spreadsheets/d/1XL5vhW3sbDhbH9Cz0tuDiY8C3ctxq1tqvaCgkFb8cCA/edit?usp=sharing"",""อำนาจเจริญ!I414"")"),0)</f>
        <v>0</v>
      </c>
      <c r="J519" s="189">
        <f ca="1">IFERROR(__xludf.DUMMYFUNCTION("IMPORTRANGE(""https://docs.google.com/spreadsheets/d/1XL5vhW3sbDhbH9Cz0tuDiY8C3ctxq1tqvaCgkFb8cCA/edit?usp=sharing"",""อำนาจเจริญ!J414"")"),0)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IFERROR(__xludf.DUMMYFUNCTION("IMPORTRANGE(""https://docs.google.com/spreadsheets/d/1XL5vhW3sbDhbH9Cz0tuDiY8C3ctxq1tqvaCgkFb8cCA/edit?usp=sharing"",""อำนาจเจริญ!I415"")"),0)</f>
        <v>0</v>
      </c>
      <c r="J520" s="189">
        <f ca="1">IFERROR(__xludf.DUMMYFUNCTION("IMPORTRANGE(""https://docs.google.com/spreadsheets/d/1XL5vhW3sbDhbH9Cz0tuDiY8C3ctxq1tqvaCgkFb8cCA/edit?usp=sharing"",""อำนาจเจริญ!J415"")"),0)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IFERROR(__xludf.DUMMYFUNCTION("IMPORTRANGE(""https://docs.google.com/spreadsheets/d/1XL5vhW3sbDhbH9Cz0tuDiY8C3ctxq1tqvaCgkFb8cCA/edit?usp=sharing"",""อำนาจเจริญ!I416"")"),0)</f>
        <v>0</v>
      </c>
      <c r="J521" s="189">
        <f ca="1">IFERROR(__xludf.DUMMYFUNCTION("IMPORTRANGE(""https://docs.google.com/spreadsheets/d/1XL5vhW3sbDhbH9Cz0tuDiY8C3ctxq1tqvaCgkFb8cCA/edit?usp=sharing"",""อำนาจเจริญ!J416"")"),0)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IFERROR(__xludf.DUMMYFUNCTION("IMPORTRANGE(""https://docs.google.com/spreadsheets/d/1XL5vhW3sbDhbH9Cz0tuDiY8C3ctxq1tqvaCgkFb8cCA/edit?usp=sharing"",""อำนาจเจริญ!I417"")"),0)</f>
        <v>0</v>
      </c>
      <c r="J522" s="189">
        <f ca="1">IFERROR(__xludf.DUMMYFUNCTION("IMPORTRANGE(""https://docs.google.com/spreadsheets/d/1XL5vhW3sbDhbH9Cz0tuDiY8C3ctxq1tqvaCgkFb8cCA/edit?usp=sharing"",""อำนาจเจริญ!J417"")"),0)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IFERROR(__xludf.DUMMYFUNCTION("IMPORTRANGE(""https://docs.google.com/spreadsheets/d/1XL5vhW3sbDhbH9Cz0tuDiY8C3ctxq1tqvaCgkFb8cCA/edit?usp=sharing"",""อำนาจเจริญ!I418"")"),0)</f>
        <v>0</v>
      </c>
      <c r="J523" s="189">
        <f ca="1">IFERROR(__xludf.DUMMYFUNCTION("IMPORTRANGE(""https://docs.google.com/spreadsheets/d/1XL5vhW3sbDhbH9Cz0tuDiY8C3ctxq1tqvaCgkFb8cCA/edit?usp=sharing"",""อำนาจเจริญ!J418"")"),0)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IFERROR(__xludf.DUMMYFUNCTION("IMPORTRANGE(""https://docs.google.com/spreadsheets/d/1XL5vhW3sbDhbH9Cz0tuDiY8C3ctxq1tqvaCgkFb8cCA/edit?usp=sharing"",""อำนาจเจริญ!I419"")"),0)</f>
        <v>0</v>
      </c>
      <c r="J524" s="189">
        <f ca="1">IFERROR(__xludf.DUMMYFUNCTION("IMPORTRANGE(""https://docs.google.com/spreadsheets/d/1XL5vhW3sbDhbH9Cz0tuDiY8C3ctxq1tqvaCgkFb8cCA/edit?usp=sharing"",""อำนาจเจริญ!J419"")"),0)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IFERROR(__xludf.DUMMYFUNCTION("IMPORTRANGE(""https://docs.google.com/spreadsheets/d/1XL5vhW3sbDhbH9Cz0tuDiY8C3ctxq1tqvaCgkFb8cCA/edit?usp=sharing"",""อำนาจเจริญ!I420"")"),0)</f>
        <v>0</v>
      </c>
      <c r="J525" s="284">
        <f ca="1">IFERROR(__xludf.DUMMYFUNCTION("IMPORTRANGE(""https://docs.google.com/spreadsheets/d/1XL5vhW3sbDhbH9Cz0tuDiY8C3ctxq1tqvaCgkFb8cCA/edit?usp=sharing"",""อำนาจเจริญ!J420"")"),0)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IFERROR(__xludf.DUMMYFUNCTION("IMPORTRANGE(""https://docs.google.com/spreadsheets/d/1XL5vhW3sbDhbH9Cz0tuDiY8C3ctxq1tqvaCgkFb8cCA/edit?usp=sharing"",""อำนาจเจริญ!I421"")"),0)</f>
        <v>0</v>
      </c>
      <c r="J526" s="284">
        <f ca="1">IFERROR(__xludf.DUMMYFUNCTION("IMPORTRANGE(""https://docs.google.com/spreadsheets/d/1XL5vhW3sbDhbH9Cz0tuDiY8C3ctxq1tqvaCgkFb8cCA/edit?usp=sharing"",""อำนาจเจริญ!J421"")"),0)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IFERROR(__xludf.DUMMYFUNCTION("IMPORTRANGE(""https://docs.google.com/spreadsheets/d/1XL5vhW3sbDhbH9Cz0tuDiY8C3ctxq1tqvaCgkFb8cCA/edit?usp=sharing"",""อำนาจเจริญ!I422"")"),0)</f>
        <v>0</v>
      </c>
      <c r="J527" s="199">
        <f ca="1">IFERROR(__xludf.DUMMYFUNCTION("IMPORTRANGE(""https://docs.google.com/spreadsheets/d/1XL5vhW3sbDhbH9Cz0tuDiY8C3ctxq1tqvaCgkFb8cCA/edit?usp=sharing"",""อำนาจเจริญ!J422"")"),0)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IFERROR(__xludf.DUMMYFUNCTION("IMPORTRANGE(""https://docs.google.com/spreadsheets/d/1XL5vhW3sbDhbH9Cz0tuDiY8C3ctxq1tqvaCgkFb8cCA/edit?usp=sharing"",""อำนาจเจริญ!I423"")"),0)</f>
        <v>0</v>
      </c>
      <c r="J528" s="199">
        <f ca="1">IFERROR(__xludf.DUMMYFUNCTION("IMPORTRANGE(""https://docs.google.com/spreadsheets/d/1XL5vhW3sbDhbH9Cz0tuDiY8C3ctxq1tqvaCgkFb8cCA/edit?usp=sharing"",""อำนาจเจริญ!J423"")"),0)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IFERROR(__xludf.DUMMYFUNCTION("IMPORTRANGE(""https://docs.google.com/spreadsheets/d/1XL5vhW3sbDhbH9Cz0tuDiY8C3ctxq1tqvaCgkFb8cCA/edit?usp=sharing"",""อำนาจเจริญ!I424"")"),0)</f>
        <v>0</v>
      </c>
      <c r="J529" s="199">
        <f ca="1">IFERROR(__xludf.DUMMYFUNCTION("IMPORTRANGE(""https://docs.google.com/spreadsheets/d/1XL5vhW3sbDhbH9Cz0tuDiY8C3ctxq1tqvaCgkFb8cCA/edit?usp=sharing"",""อำนาจเจริญ!J424"")"),0)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IFERROR(__xludf.DUMMYFUNCTION("IMPORTRANGE(""https://docs.google.com/spreadsheets/d/1XL5vhW3sbDhbH9Cz0tuDiY8C3ctxq1tqvaCgkFb8cCA/edit?usp=sharing"",""อำนาจเจริญ!I425"")"),0)</f>
        <v>0</v>
      </c>
      <c r="J530" s="199">
        <f ca="1">IFERROR(__xludf.DUMMYFUNCTION("IMPORTRANGE(""https://docs.google.com/spreadsheets/d/1XL5vhW3sbDhbH9Cz0tuDiY8C3ctxq1tqvaCgkFb8cCA/edit?usp=sharing"",""อำนาจเจริญ!J425"")"),0)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IFERROR(__xludf.DUMMYFUNCTION("IMPORTRANGE(""https://docs.google.com/spreadsheets/d/1XL5vhW3sbDhbH9Cz0tuDiY8C3ctxq1tqvaCgkFb8cCA/edit?usp=sharing"",""อำนาจเจริญ!I426"")"),0)</f>
        <v>0</v>
      </c>
      <c r="J531" s="199">
        <f ca="1">IFERROR(__xludf.DUMMYFUNCTION("IMPORTRANGE(""https://docs.google.com/spreadsheets/d/1XL5vhW3sbDhbH9Cz0tuDiY8C3ctxq1tqvaCgkFb8cCA/edit?usp=sharing"",""อำนาจเจริญ!J426"")"),0)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IFERROR(__xludf.DUMMYFUNCTION("IMPORTRANGE(""https://docs.google.com/spreadsheets/d/1XL5vhW3sbDhbH9Cz0tuDiY8C3ctxq1tqvaCgkFb8cCA/edit?usp=sharing"",""อำนาจเจริญ!L429"")"),0)</f>
        <v>0</v>
      </c>
      <c r="M534" s="166"/>
      <c r="N534" s="170">
        <f ca="1">IFERROR(__xludf.DUMMYFUNCTION("IMPORTRANGE(""https://docs.google.com/spreadsheets/d/1XL5vhW3sbDhbH9Cz0tuDiY8C3ctxq1tqvaCgkFb8cCA/edit?usp=sharing"",""อำนาจเจริญ!M429"")"),0)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IFERROR(__xludf.DUMMYFUNCTION("IMPORTRANGE(""https://docs.google.com/spreadsheets/d/1XL5vhW3sbDhbH9Cz0tuDiY8C3ctxq1tqvaCgkFb8cCA/edit?usp=sharing"",""อำนาจเจริญ!L430"")"),34340)</f>
        <v>34340</v>
      </c>
      <c r="M535" s="167"/>
      <c r="N535" s="170">
        <f ca="1">IFERROR(__xludf.DUMMYFUNCTION("IMPORTRANGE(""https://docs.google.com/spreadsheets/d/1XL5vhW3sbDhbH9Cz0tuDiY8C3ctxq1tqvaCgkFb8cCA/edit?usp=sharing"",""อำนาจเจริญ!M430"")"),23700)</f>
        <v>23700</v>
      </c>
      <c r="O535" s="170">
        <f t="shared" ca="1" si="118"/>
        <v>69.015725101921959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IFERROR(__xludf.DUMMYFUNCTION("IMPORTRANGE(""https://docs.google.com/spreadsheets/d/1XL5vhW3sbDhbH9Cz0tuDiY8C3ctxq1tqvaCgkFb8cCA/edit?usp=sharing"",""อำนาจเจริญ!L431"")"),0)</f>
        <v>0</v>
      </c>
      <c r="M536" s="170"/>
      <c r="N536" s="170">
        <f ca="1">IFERROR(__xludf.DUMMYFUNCTION("IMPORTRANGE(""https://docs.google.com/spreadsheets/d/1XL5vhW3sbDhbH9Cz0tuDiY8C3ctxq1tqvaCgkFb8cCA/edit?usp=sharing"",""อำนาจเจริญ!M431"")"),0)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IFERROR(__xludf.DUMMYFUNCTION("IMPORTRANGE(""https://docs.google.com/spreadsheets/d/1XL5vhW3sbDhbH9Cz0tuDiY8C3ctxq1tqvaCgkFb8cCA/edit?usp=sharing"",""อำนาจเจริญ!L432"")"),34340)</f>
        <v>34340</v>
      </c>
      <c r="M537" s="170"/>
      <c r="N537" s="170">
        <f ca="1">IFERROR(__xludf.DUMMYFUNCTION("IMPORTRANGE(""https://docs.google.com/spreadsheets/d/1XL5vhW3sbDhbH9Cz0tuDiY8C3ctxq1tqvaCgkFb8cCA/edit?usp=sharing"",""อำนาจเจริญ!M432"")"),23700)</f>
        <v>23700</v>
      </c>
      <c r="O537" s="170">
        <f t="shared" ca="1" si="118"/>
        <v>69.015725101921959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IFERROR(__xludf.DUMMYFUNCTION("IMPORTRANGE(""https://docs.google.com/spreadsheets/d/1XL5vhW3sbDhbH9Cz0tuDiY8C3ctxq1tqvaCgkFb8cCA/edit?usp=sharing"",""อำนาจเจริญ!J438"")"),0)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IFERROR(__xludf.DUMMYFUNCTION("IMPORTRANGE(""https://docs.google.com/spreadsheets/d/1XL5vhW3sbDhbH9Cz0tuDiY8C3ctxq1tqvaCgkFb8cCA/edit?usp=sharing"",""อำนาจเจริญ!J439"")"),1)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IFERROR(__xludf.DUMMYFUNCTION("IMPORTRANGE(""https://docs.google.com/spreadsheets/d/1XL5vhW3sbDhbH9Cz0tuDiY8C3ctxq1tqvaCgkFb8cCA/edit?usp=sharing"",""อำนาจเจริญ!J440"")"),1)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IFERROR(__xludf.DUMMYFUNCTION("IMPORTRANGE(""https://docs.google.com/spreadsheets/d/1XL5vhW3sbDhbH9Cz0tuDiY8C3ctxq1tqvaCgkFb8cCA/edit?usp=sharing"",""อำนาจเจริญ!J441"")"),1)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IFERROR(__xludf.DUMMYFUNCTION("IMPORTRANGE(""https://docs.google.com/spreadsheets/d/1XL5vhW3sbDhbH9Cz0tuDiY8C3ctxq1tqvaCgkFb8cCA/edit?usp=sharing"",""อำนาจเจริญ!I442"")"),22)</f>
        <v>22</v>
      </c>
      <c r="J547" s="190">
        <f ca="1">IFERROR(__xludf.DUMMYFUNCTION("IMPORTRANGE(""https://docs.google.com/spreadsheets/d/1XL5vhW3sbDhbH9Cz0tuDiY8C3ctxq1tqvaCgkFb8cCA/edit?usp=sharing"",""อำนาจเจริญ!J442"")"),22)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IFERROR(__xludf.DUMMYFUNCTION("IMPORTRANGE(""https://docs.google.com/spreadsheets/d/1XL5vhW3sbDhbH9Cz0tuDiY8C3ctxq1tqvaCgkFb8cCA/edit?usp=sharing"",""อำนาจเจริญ!J166"")"),0)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IFERROR(__xludf.DUMMYFUNCTION("IMPORTRANGE(""https://docs.google.com/spreadsheets/d/1XL5vhW3sbDhbH9Cz0tuDiY8C3ctxq1tqvaCgkFb8cCA/edit?usp=sharing"",""อำนาจเจริญ!J444"")"),0)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IFERROR(__xludf.DUMMYFUNCTION("IMPORTRANGE(""https://docs.google.com/spreadsheets/d/1XL5vhW3sbDhbH9Cz0tuDiY8C3ctxq1tqvaCgkFb8cCA/edit?usp=sharing"",""อำนาจเจริญ!L447"")"),0)</f>
        <v>0</v>
      </c>
      <c r="M552" s="166"/>
      <c r="N552" s="170">
        <f ca="1">IFERROR(__xludf.DUMMYFUNCTION("IMPORTRANGE(""https://docs.google.com/spreadsheets/d/1XL5vhW3sbDhbH9Cz0tuDiY8C3ctxq1tqvaCgkFb8cCA/edit?usp=sharing"",""อำนาจเจริญ!M447"")"),0)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IFERROR(__xludf.DUMMYFUNCTION("IMPORTRANGE(""https://docs.google.com/spreadsheets/d/1XL5vhW3sbDhbH9Cz0tuDiY8C3ctxq1tqvaCgkFb8cCA/edit?usp=sharing"",""อำนาจเจริญ!L448"")"),0)</f>
        <v>0</v>
      </c>
      <c r="M553" s="167"/>
      <c r="N553" s="170">
        <f ca="1">IFERROR(__xludf.DUMMYFUNCTION("IMPORTRANGE(""https://docs.google.com/spreadsheets/d/1XL5vhW3sbDhbH9Cz0tuDiY8C3ctxq1tqvaCgkFb8cCA/edit?usp=sharing"",""อำนาจเจริญ!M448"")"),0)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IFERROR(__xludf.DUMMYFUNCTION("IMPORTRANGE(""https://docs.google.com/spreadsheets/d/1XL5vhW3sbDhbH9Cz0tuDiY8C3ctxq1tqvaCgkFb8cCA/edit?usp=sharing"",""อำนาจเจริญ!L449"")"),0)</f>
        <v>0</v>
      </c>
      <c r="M554" s="170"/>
      <c r="N554" s="170">
        <f ca="1">IFERROR(__xludf.DUMMYFUNCTION("IMPORTRANGE(""https://docs.google.com/spreadsheets/d/1XL5vhW3sbDhbH9Cz0tuDiY8C3ctxq1tqvaCgkFb8cCA/edit?usp=sharing"",""อำนาจเจริญ!M449"")"),0)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IFERROR(__xludf.DUMMYFUNCTION("IMPORTRANGE(""https://docs.google.com/spreadsheets/d/1XL5vhW3sbDhbH9Cz0tuDiY8C3ctxq1tqvaCgkFb8cCA/edit?usp=sharing"",""อำนาจเจริญ!L450"")"),0)</f>
        <v>0</v>
      </c>
      <c r="M555" s="170"/>
      <c r="N555" s="170">
        <f ca="1">IFERROR(__xludf.DUMMYFUNCTION("IMPORTRANGE(""https://docs.google.com/spreadsheets/d/1XL5vhW3sbDhbH9Cz0tuDiY8C3ctxq1tqvaCgkFb8cCA/edit?usp=sharing"",""อำนาจเจริญ!M450"")"),0)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IFERROR(__xludf.DUMMYFUNCTION("IMPORTRANGE(""https://docs.google.com/spreadsheets/d/1XL5vhW3sbDhbH9Cz0tuDiY8C3ctxq1tqvaCgkFb8cCA/edit?usp=sharing"",""อำนาจเจริญ!M451"")"),0)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IFERROR(__xludf.DUMMYFUNCTION("IMPORTRANGE(""https://docs.google.com/spreadsheets/d/1XL5vhW3sbDhbH9Cz0tuDiY8C3ctxq1tqvaCgkFb8cCA/edit?usp=sharing"",""อำนาจเจริญ!M452"")"),0)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IFERROR(__xludf.DUMMYFUNCTION("IMPORTRANGE(""https://docs.google.com/spreadsheets/d/1XL5vhW3sbDhbH9Cz0tuDiY8C3ctxq1tqvaCgkFb8cCA/edit?usp=sharing"",""อำนาจเจริญ!M453"")"),0)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IFERROR(__xludf.DUMMYFUNCTION("IMPORTRANGE(""https://docs.google.com/spreadsheets/d/1XL5vhW3sbDhbH9Cz0tuDiY8C3ctxq1tqvaCgkFb8cCA/edit?usp=sharing"",""อำนาจเจริญ!M454"")"),0)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IFERROR(__xludf.DUMMYFUNCTION("IMPORTRANGE(""https://docs.google.com/spreadsheets/d/1XL5vhW3sbDhbH9Cz0tuDiY8C3ctxq1tqvaCgkFb8cCA/edit?usp=sharing"",""อำนาจเจริญ!I455"")"),0)</f>
        <v>0</v>
      </c>
      <c r="J560" s="164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IFERROR(__xludf.DUMMYFUNCTION("IMPORTRANGE(""https://docs.google.com/spreadsheets/d/1XL5vhW3sbDhbH9Cz0tuDiY8C3ctxq1tqvaCgkFb8cCA/edit?usp=sharing"",""อำนาจเจริญ!I456"")"),0)</f>
        <v>0</v>
      </c>
      <c r="J561" s="205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IFERROR(__xludf.DUMMYFUNCTION("IMPORTRANGE(""https://docs.google.com/spreadsheets/d/1XL5vhW3sbDhbH9Cz0tuDiY8C3ctxq1tqvaCgkFb8cCA/edit?usp=sharing"",""อำนาจเจริญ!I457"")"),0)</f>
        <v>0</v>
      </c>
      <c r="J562" s="205" t="str">
        <f ca="1">IFERROR(__xludf.DUMMYFUNCTION("IMPORTRANGE(""https://docs.google.com/spreadsheets/d/1XL5vhW3sbDhbH9Cz0tuDiY8C3ctxq1tqvaCgkFb8cCA/edit?usp=sharing"",""อำนาจเจริญ!J457"")"),"")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IFERROR(__xludf.DUMMYFUNCTION("IMPORTRANGE(""https://docs.google.com/spreadsheets/d/1XL5vhW3sbDhbH9Cz0tuDiY8C3ctxq1tqvaCgkFb8cCA/edit?usp=sharing"",""อำนาจเจริญ!I458"")"),0)</f>
        <v>0</v>
      </c>
      <c r="J563" s="189" t="str">
        <f ca="1">IFERROR(__xludf.DUMMYFUNCTION("IMPORTRANGE(""https://docs.google.com/spreadsheets/d/1XL5vhW3sbDhbH9Cz0tuDiY8C3ctxq1tqvaCgkFb8cCA/edit?usp=sharing"",""อำนาจเจริญ!J458"")"),"")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IFERROR(__xludf.DUMMYFUNCTION("IMPORTRANGE(""https://docs.google.com/spreadsheets/d/1XL5vhW3sbDhbH9Cz0tuDiY8C3ctxq1tqvaCgkFb8cCA/edit?usp=sharing"",""อำนาจเจริญ!J459"")"),466)</f>
        <v>466</v>
      </c>
      <c r="K564" s="372">
        <f t="shared" ca="1" si="121"/>
        <v>31.917808219178081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IFERROR(__xludf.DUMMYFUNCTION("IMPORTRANGE(""https://docs.google.com/spreadsheets/d/1XL5vhW3sbDhbH9Cz0tuDiY8C3ctxq1tqvaCgkFb8cCA/edit?usp=sharing"",""อำนาจเจริญ!M459"")"),28695)</f>
        <v>28695</v>
      </c>
      <c r="O564" s="373">
        <f t="shared" ref="O564:O568" ca="1" si="122">+IF(L564&gt;0,N564*100/L564,0)</f>
        <v>22.544783155248272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IFERROR(__xludf.DUMMYFUNCTION("IMPORTRANGE(""https://docs.google.com/spreadsheets/d/1XL5vhW3sbDhbH9Cz0tuDiY8C3ctxq1tqvaCgkFb8cCA/edit?usp=sharing"",""อำนาจเจริญ!L460"")"),0)</f>
        <v>0</v>
      </c>
      <c r="M565" s="166"/>
      <c r="N565" s="170">
        <f ca="1">IFERROR(__xludf.DUMMYFUNCTION("IMPORTRANGE(""https://docs.google.com/spreadsheets/d/1XL5vhW3sbDhbH9Cz0tuDiY8C3ctxq1tqvaCgkFb8cCA/edit?usp=sharing"",""อำนาจเจริญ!M460"")"),0)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7"/>
      <c r="N566" s="170">
        <f ca="1">IFERROR(__xludf.DUMMYFUNCTION("IMPORTRANGE(""https://docs.google.com/spreadsheets/d/1XL5vhW3sbDhbH9Cz0tuDiY8C3ctxq1tqvaCgkFb8cCA/edit?usp=sharing"",""อำนาจเจริญ!M461"")"),28695)</f>
        <v>28695</v>
      </c>
      <c r="O566" s="170">
        <f t="shared" ca="1" si="122"/>
        <v>22.544783155248272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IFERROR(__xludf.DUMMYFUNCTION("IMPORTRANGE(""https://docs.google.com/spreadsheets/d/1XL5vhW3sbDhbH9Cz0tuDiY8C3ctxq1tqvaCgkFb8cCA/edit?usp=sharing"",""อำนาจเจริญ!L462"")"),0)</f>
        <v>0</v>
      </c>
      <c r="M567" s="170"/>
      <c r="N567" s="170">
        <f ca="1">IFERROR(__xludf.DUMMYFUNCTION("IMPORTRANGE(""https://docs.google.com/spreadsheets/d/1XL5vhW3sbDhbH9Cz0tuDiY8C3ctxq1tqvaCgkFb8cCA/edit?usp=sharing"",""อำนาจเจริญ!M462"")"),0)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IFERROR(__xludf.DUMMYFUNCTION("IMPORTRANGE(""https://docs.google.com/spreadsheets/d/1XL5vhW3sbDhbH9Cz0tuDiY8C3ctxq1tqvaCgkFb8cCA/edit?usp=sharing"",""อำนาจเจริญ!L463"")"),127280)</f>
        <v>127280</v>
      </c>
      <c r="M568" s="170"/>
      <c r="N568" s="170">
        <f ca="1">IFERROR(__xludf.DUMMYFUNCTION("IMPORTRANGE(""https://docs.google.com/spreadsheets/d/1XL5vhW3sbDhbH9Cz0tuDiY8C3ctxq1tqvaCgkFb8cCA/edit?usp=sharing"",""อำนาจเจริญ!M463"")"),28695)</f>
        <v>28695</v>
      </c>
      <c r="O568" s="170">
        <f t="shared" ca="1" si="122"/>
        <v>22.544783155248272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IFERROR(__xludf.DUMMYFUNCTION("IMPORTRANGE(""https://docs.google.com/spreadsheets/d/1XL5vhW3sbDhbH9Cz0tuDiY8C3ctxq1tqvaCgkFb8cCA/edit?usp=sharing"",""อำนาจเจริญ!M464"")"),0)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IFERROR(__xludf.DUMMYFUNCTION("IMPORTRANGE(""https://docs.google.com/spreadsheets/d/1XL5vhW3sbDhbH9Cz0tuDiY8C3ctxq1tqvaCgkFb8cCA/edit?usp=sharing"",""อำนาจเจริญ!M465"")"),0)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IFERROR(__xludf.DUMMYFUNCTION("IMPORTRANGE(""https://docs.google.com/spreadsheets/d/1XL5vhW3sbDhbH9Cz0tuDiY8C3ctxq1tqvaCgkFb8cCA/edit?usp=sharing"",""อำนาจเจริญ!M466"")"),22000)</f>
        <v>22000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IFERROR(__xludf.DUMMYFUNCTION("IMPORTRANGE(""https://docs.google.com/spreadsheets/d/1XL5vhW3sbDhbH9Cz0tuDiY8C3ctxq1tqvaCgkFb8cCA/edit?usp=sharing"",""อำนาจเจริญ!M467"")"),6695)</f>
        <v>6695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IFERROR(__xludf.DUMMYFUNCTION("IMPORTRANGE(""https://docs.google.com/spreadsheets/d/1XL5vhW3sbDhbH9Cz0tuDiY8C3ctxq1tqvaCgkFb8cCA/edit?usp=sharing"",""อำนาจเจริญ!J468"")"),466)</f>
        <v>466</v>
      </c>
      <c r="K573" s="203">
        <f ca="1">IF(I573&gt;0,J573*100/I573,0)</f>
        <v>31.917808219178081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IFERROR(__xludf.DUMMYFUNCTION("IMPORTRANGE(""https://docs.google.com/spreadsheets/d/1XL5vhW3sbDhbH9Cz0tuDiY8C3ctxq1tqvaCgkFb8cCA/edit?usp=sharing"",""อำนาจเจริญ!I470"")"),10)</f>
        <v>10</v>
      </c>
      <c r="J575" s="199">
        <f ca="1">IFERROR(__xludf.DUMMYFUNCTION("IMPORTRANGE(""https://docs.google.com/spreadsheets/d/1XL5vhW3sbDhbH9Cz0tuDiY8C3ctxq1tqvaCgkFb8cCA/edit?usp=sharing"",""อำนาจเจริญ!J470"")"),5)</f>
        <v>5</v>
      </c>
      <c r="K575" s="165">
        <f t="shared" ref="K575:K579" ca="1" si="123">IF(I575&gt;0,J575*100/I575,0)</f>
        <v>50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IFERROR(__xludf.DUMMYFUNCTION("IMPORTRANGE(""https://docs.google.com/spreadsheets/d/1XL5vhW3sbDhbH9Cz0tuDiY8C3ctxq1tqvaCgkFb8cCA/edit?usp=sharing"",""อำนาจเจริญ!I471"")"),0)</f>
        <v>0</v>
      </c>
      <c r="J576" s="199">
        <f ca="1">IFERROR(__xludf.DUMMYFUNCTION("IMPORTRANGE(""https://docs.google.com/spreadsheets/d/1XL5vhW3sbDhbH9Cz0tuDiY8C3ctxq1tqvaCgkFb8cCA/edit?usp=sharing"",""อำนาจเจริญ!J471"")"),0)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IFERROR(__xludf.DUMMYFUNCTION("IMPORTRANGE(""https://docs.google.com/spreadsheets/d/1XL5vhW3sbDhbH9Cz0tuDiY8C3ctxq1tqvaCgkFb8cCA/edit?usp=sharing"",""อำนาจเจริญ!I472"")"),0)</f>
        <v>0</v>
      </c>
      <c r="J577" s="190">
        <f ca="1">IFERROR(__xludf.DUMMYFUNCTION("IMPORTRANGE(""https://docs.google.com/spreadsheets/d/1XL5vhW3sbDhbH9Cz0tuDiY8C3ctxq1tqvaCgkFb8cCA/edit?usp=sharing"",""อำนาจเจริญ!J472"")"),466)</f>
        <v>466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IFERROR(__xludf.DUMMYFUNCTION("IMPORTRANGE(""https://docs.google.com/spreadsheets/d/1XL5vhW3sbDhbH9Cz0tuDiY8C3ctxq1tqvaCgkFb8cCA/edit?usp=sharing"",""อำนาจเจริญ!I473"")"),0)</f>
        <v>0</v>
      </c>
      <c r="J578" s="199">
        <f ca="1">IFERROR(__xludf.DUMMYFUNCTION("IMPORTRANGE(""https://docs.google.com/spreadsheets/d/1XL5vhW3sbDhbH9Cz0tuDiY8C3ctxq1tqvaCgkFb8cCA/edit?usp=sharing"",""อำนาจเจริญ!J473"")"),0)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IFERROR(__xludf.DUMMYFUNCTION("IMPORTRANGE(""https://docs.google.com/spreadsheets/d/1XL5vhW3sbDhbH9Cz0tuDiY8C3ctxq1tqvaCgkFb8cCA/edit?usp=sharing"",""อำนาจเจริญ!I474"")"),0)</f>
        <v>0</v>
      </c>
      <c r="J579" s="199">
        <f ca="1">IFERROR(__xludf.DUMMYFUNCTION("IMPORTRANGE(""https://docs.google.com/spreadsheets/d/1XL5vhW3sbDhbH9Cz0tuDiY8C3ctxq1tqvaCgkFb8cCA/edit?usp=sharing"",""อำนาจเจริญ!J474"")"),0)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IFERROR(__xludf.DUMMYFUNCTION("IMPORTRANGE(""https://docs.google.com/spreadsheets/d/1XL5vhW3sbDhbH9Cz0tuDiY8C3ctxq1tqvaCgkFb8cCA/edit?usp=sharing"",""อำนาจเจริญ!L476"")"),0)</f>
        <v>0</v>
      </c>
      <c r="M581" s="166"/>
      <c r="N581" s="170">
        <f ca="1">IFERROR(__xludf.DUMMYFUNCTION("IMPORTRANGE(""https://docs.google.com/spreadsheets/d/1XL5vhW3sbDhbH9Cz0tuDiY8C3ctxq1tqvaCgkFb8cCA/edit?usp=sharing"",""อำนาจเจริญ!M476"")"),0)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IFERROR(__xludf.DUMMYFUNCTION("IMPORTRANGE(""https://docs.google.com/spreadsheets/d/1XL5vhW3sbDhbH9Cz0tuDiY8C3ctxq1tqvaCgkFb8cCA/edit?usp=sharing"",""อำนาจเจริญ!L477"")"),0)</f>
        <v>0</v>
      </c>
      <c r="M582" s="167"/>
      <c r="N582" s="170">
        <f ca="1">IFERROR(__xludf.DUMMYFUNCTION("IMPORTRANGE(""https://docs.google.com/spreadsheets/d/1XL5vhW3sbDhbH9Cz0tuDiY8C3ctxq1tqvaCgkFb8cCA/edit?usp=sharing"",""อำนาจเจริญ!M477"")"),0)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IFERROR(__xludf.DUMMYFUNCTION("IMPORTRANGE(""https://docs.google.com/spreadsheets/d/1XL5vhW3sbDhbH9Cz0tuDiY8C3ctxq1tqvaCgkFb8cCA/edit?usp=sharing"",""อำนาจเจริญ!L478"")"),0)</f>
        <v>0</v>
      </c>
      <c r="M583" s="170"/>
      <c r="N583" s="170">
        <f ca="1">IFERROR(__xludf.DUMMYFUNCTION("IMPORTRANGE(""https://docs.google.com/spreadsheets/d/1XL5vhW3sbDhbH9Cz0tuDiY8C3ctxq1tqvaCgkFb8cCA/edit?usp=sharing"",""อำนาจเจริญ!M478"")"),0)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IFERROR(__xludf.DUMMYFUNCTION("IMPORTRANGE(""https://docs.google.com/spreadsheets/d/1XL5vhW3sbDhbH9Cz0tuDiY8C3ctxq1tqvaCgkFb8cCA/edit?usp=sharing"",""อำนาจเจริญ!L479"")"),0)</f>
        <v>0</v>
      </c>
      <c r="M584" s="170"/>
      <c r="N584" s="170">
        <f ca="1">IFERROR(__xludf.DUMMYFUNCTION("IMPORTRANGE(""https://docs.google.com/spreadsheets/d/1XL5vhW3sbDhbH9Cz0tuDiY8C3ctxq1tqvaCgkFb8cCA/edit?usp=sharing"",""อำนาจเจริญ!M479"")"),0)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IFERROR(__xludf.DUMMYFUNCTION("IMPORTRANGE(""https://docs.google.com/spreadsheets/d/1XL5vhW3sbDhbH9Cz0tuDiY8C3ctxq1tqvaCgkFb8cCA/edit?usp=sharing"",""อำนาจเจริญ!M480"")"),0)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IFERROR(__xludf.DUMMYFUNCTION("IMPORTRANGE(""https://docs.google.com/spreadsheets/d/1XL5vhW3sbDhbH9Cz0tuDiY8C3ctxq1tqvaCgkFb8cCA/edit?usp=sharing"",""อำนาจเจริญ!M481"")"),0)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IFERROR(__xludf.DUMMYFUNCTION("IMPORTRANGE(""https://docs.google.com/spreadsheets/d/1XL5vhW3sbDhbH9Cz0tuDiY8C3ctxq1tqvaCgkFb8cCA/edit?usp=sharing"",""อำนาจเจริญ!M482"")"),0)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IFERROR(__xludf.DUMMYFUNCTION("IMPORTRANGE(""https://docs.google.com/spreadsheets/d/1XL5vhW3sbDhbH9Cz0tuDiY8C3ctxq1tqvaCgkFb8cCA/edit?usp=sharing"",""อำนาจเจริญ!M483"")"),0)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IFERROR(__xludf.DUMMYFUNCTION("IMPORTRANGE(""https://docs.google.com/spreadsheets/d/1XL5vhW3sbDhbH9Cz0tuDiY8C3ctxq1tqvaCgkFb8cCA/edit?usp=sharing"",""อำนาจเจริญ!I484"")"),0)</f>
        <v>0</v>
      </c>
      <c r="J589" s="189">
        <f ca="1">IFERROR(__xludf.DUMMYFUNCTION("IMPORTRANGE(""https://docs.google.com/spreadsheets/d/1XL5vhW3sbDhbH9Cz0tuDiY8C3ctxq1tqvaCgkFb8cCA/edit?usp=sharing"",""อำนาจเจริญ!J484"")"),0)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9">
        <f ca="1">IFERROR(__xludf.DUMMYFUNCTION("IMPORTRANGE(""https://docs.google.com/spreadsheets/d/1XL5vhW3sbDhbH9Cz0tuDiY8C3ctxq1tqvaCgkFb8cCA/edit?usp=sharing"",""อำนาจเจริญ!J485"")"),0)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IFERROR(__xludf.DUMMYFUNCTION("IMPORTRANGE(""https://docs.google.com/spreadsheets/d/1XL5vhW3sbDhbH9Cz0tuDiY8C3ctxq1tqvaCgkFb8cCA/edit?usp=sharing"",""อำนาจเจริญ!I486"")"),0)</f>
        <v>0</v>
      </c>
      <c r="J591" s="189">
        <f ca="1">IFERROR(__xludf.DUMMYFUNCTION("IMPORTRANGE(""https://docs.google.com/spreadsheets/d/1XL5vhW3sbDhbH9Cz0tuDiY8C3ctxq1tqvaCgkFb8cCA/edit?usp=sharing"",""อำนาจเจริญ!J486"")"),0)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9">
        <f ca="1">IFERROR(__xludf.DUMMYFUNCTION("IMPORTRANGE(""https://docs.google.com/spreadsheets/d/1XL5vhW3sbDhbH9Cz0tuDiY8C3ctxq1tqvaCgkFb8cCA/edit?usp=sharing"",""อำนาจเจริญ!J487"")"),0)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IFERROR(__xludf.DUMMYFUNCTION("IMPORTRANGE(""https://docs.google.com/spreadsheets/d/1XL5vhW3sbDhbH9Cz0tuDiY8C3ctxq1tqvaCgkFb8cCA/edit?usp=sharing"",""อำนาจเจริญ!I488"")"),0)</f>
        <v>0</v>
      </c>
      <c r="J593" s="189">
        <f ca="1">IFERROR(__xludf.DUMMYFUNCTION("IMPORTRANGE(""https://docs.google.com/spreadsheets/d/1XL5vhW3sbDhbH9Cz0tuDiY8C3ctxq1tqvaCgkFb8cCA/edit?usp=sharing"",""อำนาจเจริญ!J488"")"),0)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9">
        <f ca="1">IFERROR(__xludf.DUMMYFUNCTION("IMPORTRANGE(""https://docs.google.com/spreadsheets/d/1XL5vhW3sbDhbH9Cz0tuDiY8C3ctxq1tqvaCgkFb8cCA/edit?usp=sharing"",""อำนาจเจริญ!J489"")"),0)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IFERROR(__xludf.DUMMYFUNCTION("IMPORTRANGE(""https://docs.google.com/spreadsheets/d/1XL5vhW3sbDhbH9Cz0tuDiY8C3ctxq1tqvaCgkFb8cCA/edit?usp=sharing"",""อำนาจเจริญ!I490"")"),0)</f>
        <v>0</v>
      </c>
      <c r="J595" s="189">
        <f ca="1">IFERROR(__xludf.DUMMYFUNCTION("IMPORTRANGE(""https://docs.google.com/spreadsheets/d/1XL5vhW3sbDhbH9Cz0tuDiY8C3ctxq1tqvaCgkFb8cCA/edit?usp=sharing"",""อำนาจเจริญ!J490"")"),0)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7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IFERROR(__xludf.DUMMYFUNCTION("IMPORTRANGE(""https://docs.google.com/spreadsheets/d/1XL5vhW3sbDhbH9Cz0tuDiY8C3ctxq1tqvaCgkFb8cCA/edit?usp=sharing"",""อำนาจเจริญ!L493"")"),0)</f>
        <v>0</v>
      </c>
      <c r="M598" s="166"/>
      <c r="N598" s="170">
        <f ca="1">IFERROR(__xludf.DUMMYFUNCTION("IMPORTRANGE(""https://docs.google.com/spreadsheets/d/1XL5vhW3sbDhbH9Cz0tuDiY8C3ctxq1tqvaCgkFb8cCA/edit?usp=sharing"",""อำนาจเจริญ!M493"")"),0)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IFERROR(__xludf.DUMMYFUNCTION("IMPORTRANGE(""https://docs.google.com/spreadsheets/d/1XL5vhW3sbDhbH9Cz0tuDiY8C3ctxq1tqvaCgkFb8cCA/edit?usp=sharing"",""อำนาจเจริญ!L494"")"),4550)</f>
        <v>4550</v>
      </c>
      <c r="M599" s="167"/>
      <c r="N599" s="170">
        <f ca="1">IFERROR(__xludf.DUMMYFUNCTION("IMPORTRANGE(""https://docs.google.com/spreadsheets/d/1XL5vhW3sbDhbH9Cz0tuDiY8C3ctxq1tqvaCgkFb8cCA/edit?usp=sharing"",""อำนาจเจริญ!M494"")"),0)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IFERROR(__xludf.DUMMYFUNCTION("IMPORTRANGE(""https://docs.google.com/spreadsheets/d/1XL5vhW3sbDhbH9Cz0tuDiY8C3ctxq1tqvaCgkFb8cCA/edit?usp=sharing"",""อำนาจเจริญ!L495"")"),0)</f>
        <v>0</v>
      </c>
      <c r="M600" s="170"/>
      <c r="N600" s="170">
        <f ca="1">IFERROR(__xludf.DUMMYFUNCTION("IMPORTRANGE(""https://docs.google.com/spreadsheets/d/1XL5vhW3sbDhbH9Cz0tuDiY8C3ctxq1tqvaCgkFb8cCA/edit?usp=sharing"",""อำนาจเจริญ!M495"")"),0)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IFERROR(__xludf.DUMMYFUNCTION("IMPORTRANGE(""https://docs.google.com/spreadsheets/d/1XL5vhW3sbDhbH9Cz0tuDiY8C3ctxq1tqvaCgkFb8cCA/edit?usp=sharing"",""อำนาจเจริญ!L496"")"),4550)</f>
        <v>4550</v>
      </c>
      <c r="M601" s="170"/>
      <c r="N601" s="170">
        <f ca="1">IFERROR(__xludf.DUMMYFUNCTION("IMPORTRANGE(""https://docs.google.com/spreadsheets/d/1XL5vhW3sbDhbH9Cz0tuDiY8C3ctxq1tqvaCgkFb8cCA/edit?usp=sharing"",""อำนาจเจริญ!M496"")"),0)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IFERROR(__xludf.DUMMYFUNCTION("IMPORTRANGE(""https://docs.google.com/spreadsheets/d/1XL5vhW3sbDhbH9Cz0tuDiY8C3ctxq1tqvaCgkFb8cCA/edit?usp=sharing"",""อำนาจเจริญ!M497"")"),0)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IFERROR(__xludf.DUMMYFUNCTION("IMPORTRANGE(""https://docs.google.com/spreadsheets/d/1XL5vhW3sbDhbH9Cz0tuDiY8C3ctxq1tqvaCgkFb8cCA/edit?usp=sharing"",""อำนาจเจริญ!M498"")"),0)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IFERROR(__xludf.DUMMYFUNCTION("IMPORTRANGE(""https://docs.google.com/spreadsheets/d/1XL5vhW3sbDhbH9Cz0tuDiY8C3ctxq1tqvaCgkFb8cCA/edit?usp=sharing"",""อำนาจเจริญ!M500"")"),0)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IFERROR(__xludf.DUMMYFUNCTION("IMPORTRANGE(""https://docs.google.com/spreadsheets/d/1XL5vhW3sbDhbH9Cz0tuDiY8C3ctxq1tqvaCgkFb8cCA/edit?usp=sharing"",""อำนาจเจริญ!J502"")"),0)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IFERROR(__xludf.DUMMYFUNCTION("IMPORTRANGE(""https://docs.google.com/spreadsheets/d/1XL5vhW3sbDhbH9Cz0tuDiY8C3ctxq1tqvaCgkFb8cCA/edit?usp=sharing"",""อำนาจเจริญ!J503"")"),1)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IFERROR(__xludf.DUMMYFUNCTION("IMPORTRANGE(""https://docs.google.com/spreadsheets/d/1XL5vhW3sbDhbH9Cz0tuDiY8C3ctxq1tqvaCgkFb8cCA/edit?usp=sharing"",""อำนาจเจริญ!J166"")"),0)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IFERROR(__xludf.DUMMYFUNCTION("IMPORTRANGE(""https://docs.google.com/spreadsheets/d/1XL5vhW3sbDhbH9Cz0tuDiY8C3ctxq1tqvaCgkFb8cCA/edit?usp=sharing"",""อำนาจเจริญ!J166"")"),0)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IFERROR(__xludf.DUMMYFUNCTION("IMPORTRANGE(""https://docs.google.com/spreadsheets/d/1XL5vhW3sbDhbH9Cz0tuDiY8C3ctxq1tqvaCgkFb8cCA/edit?usp=sharing"",""อำนาจเจริญ!I506"")"),50)</f>
        <v>50</v>
      </c>
      <c r="J611" s="164">
        <f ca="1">IFERROR(__xludf.DUMMYFUNCTION("IMPORTRANGE(""https://docs.google.com/spreadsheets/d/1XL5vhW3sbDhbH9Cz0tuDiY8C3ctxq1tqvaCgkFb8cCA/edit?usp=sharing"",""อำนาจเจริญ!J506"")"),0)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IFERROR(__xludf.DUMMYFUNCTION("IMPORTRANGE(""https://docs.google.com/spreadsheets/d/1XL5vhW3sbDhbH9Cz0tuDiY8C3ctxq1tqvaCgkFb8cCA/edit?usp=sharing"",""อำนาจเจริญ!I507"")"),0)</f>
        <v>0</v>
      </c>
      <c r="J612" s="199">
        <f ca="1">IFERROR(__xludf.DUMMYFUNCTION("IMPORTRANGE(""https://docs.google.com/spreadsheets/d/1XL5vhW3sbDhbH9Cz0tuDiY8C3ctxq1tqvaCgkFb8cCA/edit?usp=sharing"",""อำนาจเจริญ!J507"")"),18)</f>
        <v>18</v>
      </c>
      <c r="K612" s="165">
        <f t="shared" ca="1" si="127"/>
        <v>36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IFERROR(__xludf.DUMMYFUNCTION("IMPORTRANGE(""https://docs.google.com/spreadsheets/d/1XL5vhW3sbDhbH9Cz0tuDiY8C3ctxq1tqvaCgkFb8cCA/edit?usp=sharing"",""อำนาจเจริญ!I508"")"),0)</f>
        <v>0</v>
      </c>
      <c r="J613" s="199">
        <f ca="1">IFERROR(__xludf.DUMMYFUNCTION("IMPORTRANGE(""https://docs.google.com/spreadsheets/d/1XL5vhW3sbDhbH9Cz0tuDiY8C3ctxq1tqvaCgkFb8cCA/edit?usp=sharing"",""อำนาจเจริญ!J508"")"),0)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IFERROR(__xludf.DUMMYFUNCTION("IMPORTRANGE(""https://docs.google.com/spreadsheets/d/1XL5vhW3sbDhbH9Cz0tuDiY8C3ctxq1tqvaCgkFb8cCA/edit?usp=sharing"",""อำนาจเจริญ!I509"")"),0)</f>
        <v>0</v>
      </c>
      <c r="J614" s="199">
        <f ca="1">IFERROR(__xludf.DUMMYFUNCTION("IMPORTRANGE(""https://docs.google.com/spreadsheets/d/1XL5vhW3sbDhbH9Cz0tuDiY8C3ctxq1tqvaCgkFb8cCA/edit?usp=sharing"",""อำนาจเจริญ!J509"")"),18)</f>
        <v>18</v>
      </c>
      <c r="K614" s="165">
        <f t="shared" ca="1" si="127"/>
        <v>36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IFERROR(__xludf.DUMMYFUNCTION("IMPORTRANGE(""https://docs.google.com/spreadsheets/d/1XL5vhW3sbDhbH9Cz0tuDiY8C3ctxq1tqvaCgkFb8cCA/edit?usp=sharing"",""อำนาจเจริญ!I510"")"),0)</f>
        <v>0</v>
      </c>
      <c r="J615" s="199">
        <f ca="1">IFERROR(__xludf.DUMMYFUNCTION("IMPORTRANGE(""https://docs.google.com/spreadsheets/d/1XL5vhW3sbDhbH9Cz0tuDiY8C3ctxq1tqvaCgkFb8cCA/edit?usp=sharing"",""อำนาจเจริญ!J510"")"),0)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IFERROR(__xludf.DUMMYFUNCTION("IMPORTRANGE(""https://docs.google.com/spreadsheets/d/1XL5vhW3sbDhbH9Cz0tuDiY8C3ctxq1tqvaCgkFb8cCA/edit?usp=sharing"",""อำนาจเจริญ!I511"")"),0)</f>
        <v>0</v>
      </c>
      <c r="J616" s="199">
        <f ca="1">IFERROR(__xludf.DUMMYFUNCTION("IMPORTRANGE(""https://docs.google.com/spreadsheets/d/1XL5vhW3sbDhbH9Cz0tuDiY8C3ctxq1tqvaCgkFb8cCA/edit?usp=sharing"",""อำนาจเจริญ!J511"")"),0)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IFERROR(__xludf.DUMMYFUNCTION("IMPORTRANGE(""https://docs.google.com/spreadsheets/d/1XL5vhW3sbDhbH9Cz0tuDiY8C3ctxq1tqvaCgkFb8cCA/edit?usp=sharing"",""อำนาจเจริญ!I512"")"),0)</f>
        <v>0</v>
      </c>
      <c r="J617" s="189">
        <f ca="1">IFERROR(__xludf.DUMMYFUNCTION("IMPORTRANGE(""https://docs.google.com/spreadsheets/d/1XL5vhW3sbDhbH9Cz0tuDiY8C3ctxq1tqvaCgkFb8cCA/edit?usp=sharing"",""อำนาจเจริญ!J512"")"),0)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IFERROR(__xludf.DUMMYFUNCTION("IMPORTRANGE(""https://docs.google.com/spreadsheets/d/1XL5vhW3sbDhbH9Cz0tuDiY8C3ctxq1tqvaCgkFb8cCA/edit?usp=sharing"",""อำนาจเจริญ!I513"")"),0)</f>
        <v>0</v>
      </c>
      <c r="J618" s="190">
        <f ca="1">IFERROR(__xludf.DUMMYFUNCTION("IMPORTRANGE(""https://docs.google.com/spreadsheets/d/1XL5vhW3sbDhbH9Cz0tuDiY8C3ctxq1tqvaCgkFb8cCA/edit?usp=sharing"",""อำนาจเจริญ!J513"")"),0)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IFERROR(__xludf.DUMMYFUNCTION("IMPORTRANGE(""https://docs.google.com/spreadsheets/d/1XL5vhW3sbDhbH9Cz0tuDiY8C3ctxq1tqvaCgkFb8cCA/edit?usp=sharing"",""อำนาจเจริญ!I514"")"),0)</f>
        <v>0</v>
      </c>
      <c r="J619" s="190">
        <f ca="1">IFERROR(__xludf.DUMMYFUNCTION("IMPORTRANGE(""https://docs.google.com/spreadsheets/d/1XL5vhW3sbDhbH9Cz0tuDiY8C3ctxq1tqvaCgkFb8cCA/edit?usp=sharing"",""อำนาจเจริญ!J514"")"),0)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IFERROR(__xludf.DUMMYFUNCTION("IMPORTRANGE(""https://docs.google.com/spreadsheets/d/1XL5vhW3sbDhbH9Cz0tuDiY8C3ctxq1tqvaCgkFb8cCA/edit?usp=sharing"",""อำนาจเจริญ!I515"")"),0)</f>
        <v>0</v>
      </c>
      <c r="J620" s="204">
        <f ca="1">IFERROR(__xludf.DUMMYFUNCTION("IMPORTRANGE(""https://docs.google.com/spreadsheets/d/1XL5vhW3sbDhbH9Cz0tuDiY8C3ctxq1tqvaCgkFb8cCA/edit?usp=sharing"",""อำนาจเจริญ!J515"")"),0)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IFERROR(__xludf.DUMMYFUNCTION("IMPORTRANGE(""https://docs.google.com/spreadsheets/d/1XL5vhW3sbDhbH9Cz0tuDiY8C3ctxq1tqvaCgkFb8cCA/edit?usp=sharing"",""อำนาจเจริญ!I516"")"),0)</f>
        <v>0</v>
      </c>
      <c r="J621" s="204">
        <f ca="1">IFERROR(__xludf.DUMMYFUNCTION("IMPORTRANGE(""https://docs.google.com/spreadsheets/d/1XL5vhW3sbDhbH9Cz0tuDiY8C3ctxq1tqvaCgkFb8cCA/edit?usp=sharing"",""อำนาจเจริญ!J516"")"),0)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IFERROR(__xludf.DUMMYFUNCTION("IMPORTRANGE(""https://docs.google.com/spreadsheets/d/1XL5vhW3sbDhbH9Cz0tuDiY8C3ctxq1tqvaCgkFb8cCA/edit?usp=sharing"",""อำนาจเจริญ!I517"")"),0)</f>
        <v>0</v>
      </c>
      <c r="J622" s="190">
        <f ca="1">IFERROR(__xludf.DUMMYFUNCTION("IMPORTRANGE(""https://docs.google.com/spreadsheets/d/1XL5vhW3sbDhbH9Cz0tuDiY8C3ctxq1tqvaCgkFb8cCA/edit?usp=sharing"",""อำนาจเจริญ!J517"")"),0)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IFERROR(__xludf.DUMMYFUNCTION("IMPORTRANGE(""https://docs.google.com/spreadsheets/d/1XL5vhW3sbDhbH9Cz0tuDiY8C3ctxq1tqvaCgkFb8cCA/edit?usp=sharing"",""อำนาจเจริญ!I518"")"),0)</f>
        <v>0</v>
      </c>
      <c r="J623" s="190">
        <f ca="1">IFERROR(__xludf.DUMMYFUNCTION("IMPORTRANGE(""https://docs.google.com/spreadsheets/d/1XL5vhW3sbDhbH9Cz0tuDiY8C3ctxq1tqvaCgkFb8cCA/edit?usp=sharing"",""อำนาจเจริญ!J518"")"),0)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IFERROR(__xludf.DUMMYFUNCTION("IMPORTRANGE(""https://docs.google.com/spreadsheets/d/1XL5vhW3sbDhbH9Cz0tuDiY8C3ctxq1tqvaCgkFb8cCA/edit?usp=sharing"",""อำนาจเจริญ!I519"")"),0)</f>
        <v>0</v>
      </c>
      <c r="J624" s="189">
        <f ca="1">IFERROR(__xludf.DUMMYFUNCTION("IMPORTRANGE(""https://docs.google.com/spreadsheets/d/1XL5vhW3sbDhbH9Cz0tuDiY8C3ctxq1tqvaCgkFb8cCA/edit?usp=sharing"",""อำนาจเจริญ!J519"")"),0)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IFERROR(__xludf.DUMMYFUNCTION("IMPORTRANGE(""https://docs.google.com/spreadsheets/d/1XL5vhW3sbDhbH9Cz0tuDiY8C3ctxq1tqvaCgkFb8cCA/edit?usp=sharing"",""อำนาจเจริญ!I520"")"),0)</f>
        <v>0</v>
      </c>
      <c r="J625" s="190">
        <f ca="1">IFERROR(__xludf.DUMMYFUNCTION("IMPORTRANGE(""https://docs.google.com/spreadsheets/d/1XL5vhW3sbDhbH9Cz0tuDiY8C3ctxq1tqvaCgkFb8cCA/edit?usp=sharing"",""อำนาจเจริญ!J520"")"),0)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IFERROR(__xludf.DUMMYFUNCTION("IMPORTRANGE(""https://docs.google.com/spreadsheets/d/1XL5vhW3sbDhbH9Cz0tuDiY8C3ctxq1tqvaCgkFb8cCA/edit?usp=sharing"",""อำนาจเจริญ!I521"")"),0)</f>
        <v>0</v>
      </c>
      <c r="J626" s="190">
        <f ca="1">IFERROR(__xludf.DUMMYFUNCTION("IMPORTRANGE(""https://docs.google.com/spreadsheets/d/1XL5vhW3sbDhbH9Cz0tuDiY8C3ctxq1tqvaCgkFb8cCA/edit?usp=sharing"",""อำนาจเจริญ!J521"")"),0)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1">
        <f ca="1">IFERROR(__xludf.DUMMYFUNCTION("IMPORTRANGE(""https://docs.google.com/spreadsheets/d/1XL5vhW3sbDhbH9Cz0tuDiY8C3ctxq1tqvaCgkFb8cCA/edit?usp=sharing"",""อำนาจเจริญ!J523"")"),726634.75)</f>
        <v>726634.75</v>
      </c>
      <c r="K628" s="342">
        <f t="shared" ref="K628:K635" ca="1" si="129">IF(I628&gt;0,J628*100/I628,0)</f>
        <v>18.120570540051144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IFERROR(__xludf.DUMMYFUNCTION("IMPORTRANGE(""https://docs.google.com/spreadsheets/d/1XL5vhW3sbDhbH9Cz0tuDiY8C3ctxq1tqvaCgkFb8cCA/edit?usp=sharing"",""อำนาจเจริญ!I524"")"),351)</f>
        <v>351</v>
      </c>
      <c r="J629" s="341">
        <f ca="1">IFERROR(__xludf.DUMMYFUNCTION("IMPORTRANGE(""https://docs.google.com/spreadsheets/d/1XL5vhW3sbDhbH9Cz0tuDiY8C3ctxq1tqvaCgkFb8cCA/edit?usp=sharing"",""อำนาจเจริญ!J524"")"),61)</f>
        <v>61</v>
      </c>
      <c r="K629" s="342">
        <f t="shared" ca="1" si="129"/>
        <v>17.378917378917379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1">
        <f ca="1">IFERROR(__xludf.DUMMYFUNCTION("IMPORTRANGE(""https://docs.google.com/spreadsheets/d/1XL5vhW3sbDhbH9Cz0tuDiY8C3ctxq1tqvaCgkFb8cCA/edit?usp=sharing"",""อำนาจเจริญ!J525"")"),499634.41)</f>
        <v>499634.41</v>
      </c>
      <c r="K630" s="342">
        <f t="shared" ca="1" si="129"/>
        <v>12.821914583731928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IFERROR(__xludf.DUMMYFUNCTION("IMPORTRANGE(""https://docs.google.com/spreadsheets/d/1XL5vhW3sbDhbH9Cz0tuDiY8C3ctxq1tqvaCgkFb8cCA/edit?usp=sharing"",""อำนาจเจริญ!I526"")"),221)</f>
        <v>221</v>
      </c>
      <c r="J631" s="341">
        <f ca="1">IFERROR(__xludf.DUMMYFUNCTION("IMPORTRANGE(""https://docs.google.com/spreadsheets/d/1XL5vhW3sbDhbH9Cz0tuDiY8C3ctxq1tqvaCgkFb8cCA/edit?usp=sharing"",""อำนาจเจริญ!J526"")"),105)</f>
        <v>105</v>
      </c>
      <c r="K631" s="342">
        <f t="shared" ca="1" si="129"/>
        <v>47.511312217194572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IFERROR(__xludf.DUMMYFUNCTION("IMPORTRANGE(""https://docs.google.com/spreadsheets/d/1XL5vhW3sbDhbH9Cz0tuDiY8C3ctxq1tqvaCgkFb8cCA/edit?usp=sharing"",""อำนาจเจริญ!I527"")"),0)</f>
        <v>0</v>
      </c>
      <c r="J632" s="341">
        <f ca="1">IFERROR(__xludf.DUMMYFUNCTION("IMPORTRANGE(""https://docs.google.com/spreadsheets/d/1XL5vhW3sbDhbH9Cz0tuDiY8C3ctxq1tqvaCgkFb8cCA/edit?usp=sharing"",""อำนาจเจริญ!J527"")"),26504.9)</f>
        <v>26504.9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IFERROR(__xludf.DUMMYFUNCTION("IMPORTRANGE(""https://docs.google.com/spreadsheets/d/1XL5vhW3sbDhbH9Cz0tuDiY8C3ctxq1tqvaCgkFb8cCA/edit?usp=sharing"",""อำนาจเจริญ!I528"")"),0)</f>
        <v>0</v>
      </c>
      <c r="J633" s="341">
        <f ca="1">IFERROR(__xludf.DUMMYFUNCTION("IMPORTRANGE(""https://docs.google.com/spreadsheets/d/1XL5vhW3sbDhbH9Cz0tuDiY8C3ctxq1tqvaCgkFb8cCA/edit?usp=sharing"",""อำนาจเจริญ!J528"")"),3)</f>
        <v>3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1">
        <f ca="1">IFERROR(__xludf.DUMMYFUNCTION("IMPORTRANGE(""https://docs.google.com/spreadsheets/d/1XL5vhW3sbDhbH9Cz0tuDiY8C3ctxq1tqvaCgkFb8cCA/edit?usp=sharing"",""อำนาจเจริญ!J529"")"),0)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IFERROR(__xludf.DUMMYFUNCTION("IMPORTRANGE(""https://docs.google.com/spreadsheets/d/1XL5vhW3sbDhbH9Cz0tuDiY8C3ctxq1tqvaCgkFb8cCA/edit?usp=sharing"",""อำนาจเจริญ!I530"")"),150)</f>
        <v>150</v>
      </c>
      <c r="J635" s="504">
        <f ca="1">IFERROR(__xludf.DUMMYFUNCTION("IMPORTRANGE(""https://docs.google.com/spreadsheets/d/1XL5vhW3sbDhbH9Cz0tuDiY8C3ctxq1tqvaCgkFb8cCA/edit?usp=sharing"",""อำนาจเจริญ!J530"")"),0)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11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238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5906155</v>
      </c>
      <c r="M8" s="23">
        <f t="shared" ca="1" si="0"/>
        <v>1849357</v>
      </c>
      <c r="N8" s="23">
        <f t="shared" ca="1" si="0"/>
        <v>2017865</v>
      </c>
      <c r="O8" s="22">
        <f t="shared" ref="O8:O16" ca="1" si="1">IF(L8&gt;0,N8*100/L8,0)</f>
        <v>34.165459592577577</v>
      </c>
      <c r="P8" s="22">
        <f t="shared" ref="P8:P16" ca="1" si="2">IF(M8&gt;0,N8*100/M8,0)</f>
        <v>109.11170747454385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5906155</v>
      </c>
      <c r="M10" s="30">
        <f t="shared" ca="1" si="4"/>
        <v>1849357</v>
      </c>
      <c r="N10" s="30">
        <f t="shared" ca="1" si="4"/>
        <v>2017865</v>
      </c>
      <c r="O10" s="29">
        <f t="shared" ca="1" si="1"/>
        <v>34.165459592577577</v>
      </c>
      <c r="P10" s="29">
        <f t="shared" ca="1" si="2"/>
        <v>109.11170747454385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5868355</v>
      </c>
      <c r="M12" s="38">
        <f t="shared" ca="1" si="6"/>
        <v>1811557</v>
      </c>
      <c r="N12" s="38">
        <f t="shared" ca="1" si="6"/>
        <v>1980065</v>
      </c>
      <c r="O12" s="38">
        <f t="shared" ca="1" si="1"/>
        <v>33.74139771707744</v>
      </c>
      <c r="P12" s="38">
        <f t="shared" ca="1" si="2"/>
        <v>109.30183262243473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3635355</v>
      </c>
      <c r="M14" s="38">
        <f t="shared" si="8"/>
        <v>0</v>
      </c>
      <c r="N14" s="38">
        <f t="shared" ca="1" si="8"/>
        <v>505376</v>
      </c>
      <c r="O14" s="38">
        <f t="shared" ca="1" si="1"/>
        <v>13.901695982923263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1849357</v>
      </c>
      <c r="N18" s="23">
        <f t="shared" ca="1" si="11"/>
        <v>1512489</v>
      </c>
      <c r="O18" s="22">
        <f t="shared" ref="O18:O20" ca="1" si="12">IF(L18&gt;0,N18*100/L18,0)</f>
        <v>43.693160562338676</v>
      </c>
      <c r="P18" s="22">
        <f t="shared" ref="P18:P26" ca="1" si="13">IF(M18&gt;0,N18*100/M18,0)</f>
        <v>81.784587832419589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1849357</v>
      </c>
      <c r="N20" s="30">
        <f t="shared" ca="1" si="15"/>
        <v>1512489</v>
      </c>
      <c r="O20" s="29">
        <f t="shared" ca="1" si="12"/>
        <v>43.693160562338676</v>
      </c>
      <c r="P20" s="29">
        <f t="shared" ca="1" si="13"/>
        <v>81.784587832419589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1811557</v>
      </c>
      <c r="N22" s="38">
        <f t="shared" ca="1" si="18"/>
        <v>1474689</v>
      </c>
      <c r="O22" s="38">
        <f t="shared" ca="1" si="17"/>
        <v>43.071515254182835</v>
      </c>
      <c r="P22" s="38">
        <f t="shared" ca="1" si="13"/>
        <v>81.404504522904887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2444540</v>
      </c>
      <c r="M28" s="23">
        <f t="shared" si="23"/>
        <v>0</v>
      </c>
      <c r="N28" s="23">
        <f t="shared" ca="1" si="23"/>
        <v>505376</v>
      </c>
      <c r="O28" s="22">
        <f t="shared" ref="O28:O30" ca="1" si="24">IF(L28&gt;0,N28*100/L28,0)</f>
        <v>20.673664574930253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2444540</v>
      </c>
      <c r="M30" s="30">
        <f t="shared" si="27"/>
        <v>0</v>
      </c>
      <c r="N30" s="30">
        <f t="shared" ca="1" si="27"/>
        <v>505376</v>
      </c>
      <c r="O30" s="29">
        <f t="shared" ca="1" si="24"/>
        <v>20.673664574930253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2444540</v>
      </c>
      <c r="M32" s="38">
        <f t="shared" si="30"/>
        <v>0</v>
      </c>
      <c r="N32" s="38">
        <f t="shared" ca="1" si="30"/>
        <v>505376</v>
      </c>
      <c r="O32" s="38">
        <f t="shared" ca="1" si="29"/>
        <v>20.673664574930253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2444540</v>
      </c>
      <c r="M34" s="38">
        <f t="shared" si="32"/>
        <v>0</v>
      </c>
      <c r="N34" s="38">
        <f t="shared" ca="1" si="32"/>
        <v>505376</v>
      </c>
      <c r="O34" s="38">
        <f t="shared" ca="1" si="29"/>
        <v>20.673664574930253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1849357</v>
      </c>
      <c r="N37" s="54">
        <f t="shared" ca="1" si="33"/>
        <v>1512489</v>
      </c>
      <c r="O37" s="55">
        <f t="shared" ca="1" si="29"/>
        <v>43.693160562338676</v>
      </c>
      <c r="P37" s="55">
        <f t="shared" ca="1" si="25"/>
        <v>81.784587832419589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378800</v>
      </c>
      <c r="N41" s="78">
        <f t="shared" ca="1" si="34"/>
        <v>335976</v>
      </c>
      <c r="O41" s="77">
        <f t="shared" ref="O41:O43" ca="1" si="35">IF(L41&gt;0,N41*100/L41,0)</f>
        <v>44.347412882787751</v>
      </c>
      <c r="P41" s="77">
        <f t="shared" ref="P41:P43" ca="1" si="36">IF(M41&gt;0,N41*100/M41,0)</f>
        <v>88.694825765575501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378800</v>
      </c>
      <c r="N43" s="78">
        <f t="shared" ca="1" si="38"/>
        <v>335976</v>
      </c>
      <c r="O43" s="77">
        <f t="shared" ca="1" si="35"/>
        <v>44.347412882787751</v>
      </c>
      <c r="P43" s="77">
        <f t="shared" ca="1" si="36"/>
        <v>88.694825765575501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IFERROR(__xludf.DUMMYFUNCTION("IMPORTRANGE(""https://docs.google.com/spreadsheets/d/1Yj_ptqi66GCucihVvJfMjLAmec39IyEx_6qawtMGysU/edit?usp=sharing"",""สบก!Q38"")"),378800)</f>
        <v>378800</v>
      </c>
      <c r="N45" s="49">
        <f ca="1">IFERROR(__xludf.DUMMYFUNCTION("IMPORTRANGE(""https://docs.google.com/spreadsheets/d/1Yj_ptqi66GCucihVvJfMjLAmec39IyEx_6qawtMGysU/edit?usp=sharing"",""สบก!R38"")"),335976)</f>
        <v>335976</v>
      </c>
      <c r="O45" s="38">
        <f ca="1">IF(L45&gt;0,N45*100/L45,0)</f>
        <v>44.347412882787751</v>
      </c>
      <c r="P45" s="38">
        <f ca="1">IF(M45&gt;0,N45*100/M45,0)</f>
        <v>88.694825765575501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315252</v>
      </c>
      <c r="N53" s="121">
        <f t="shared" ca="1" si="39"/>
        <v>309442</v>
      </c>
      <c r="O53" s="120">
        <f t="shared" ref="O53:O55" ca="1" si="40">IF(L53&gt;0,N53*100/L53,0)</f>
        <v>51.573666666666668</v>
      </c>
      <c r="P53" s="120">
        <f t="shared" ref="P53:P55" ca="1" si="41">IF(M53&gt;0,N53*100/M53,0)</f>
        <v>98.157029931610268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315252</v>
      </c>
      <c r="N55" s="121">
        <f t="shared" ca="1" si="43"/>
        <v>309442</v>
      </c>
      <c r="O55" s="120">
        <f t="shared" ca="1" si="40"/>
        <v>51.573666666666668</v>
      </c>
      <c r="P55" s="120">
        <f t="shared" ca="1" si="41"/>
        <v>98.157029931610268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IFERROR(__xludf.DUMMYFUNCTION("IMPORTRANGE(""https://docs.google.com/spreadsheets/d/1Yj_ptqi66GCucihVvJfMjLAmec39IyEx_6qawtMGysU/edit?usp=sharing"",""สบก!Z38"")"),315252)</f>
        <v>315252</v>
      </c>
      <c r="N57" s="49">
        <f ca="1">IFERROR(__xludf.DUMMYFUNCTION("IMPORTRANGE(""https://docs.google.com/spreadsheets/d/1Yj_ptqi66GCucihVvJfMjLAmec39IyEx_6qawtMGysU/edit?usp=sharing"",""สบก!AA38"")"),309442)</f>
        <v>309442</v>
      </c>
      <c r="O57" s="38">
        <f ca="1">IF(L57&gt;0,N57*100/L57,0)</f>
        <v>51.573666666666668</v>
      </c>
      <c r="P57" s="38">
        <f ca="1">IF(M57&gt;0,N57*100/M57,0)</f>
        <v>98.157029931610268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IFERROR(__xludf.DUMMYFUNCTION("IMPORTRANGE(""https://docs.google.com/spreadsheets/d/1Yj_ptqi66GCucihVvJfMjLAmec39IyEx_6qawtMGysU/edit?usp=sharing"",""สบก!AI38"")"),0)</f>
        <v>0</v>
      </c>
      <c r="N70" s="170">
        <f ca="1">IFERROR(__xludf.DUMMYFUNCTION("IMPORTRANGE(""https://docs.google.com/spreadsheets/d/1Yj_ptqi66GCucihVvJfMjLAmec39IyEx_6qawtMGysU/edit?usp=sharing"",""สบก!AJ38"")"),0)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IFERROR(__xludf.DUMMYFUNCTION("IMPORTRANGE(""https://docs.google.com/spreadsheets/d/1Yj_ptqi66GCucihVvJfMjLAmec39IyEx_6qawtMGysU/edit?usp=sharing"",""สบก!AE38"")"),0)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IFERROR(__xludf.DUMMYFUNCTION("IMPORTRANGE(""https://docs.google.com/spreadsheets/d/1Yj_ptqi66GCucihVvJfMjLAmec39IyEx_6qawtMGysU/edit?usp=sharing"",""สบก!AF38"")"),0)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IFERROR(__xludf.DUMMYFUNCTION("IMPORTRANGE(""https://docs.google.com/spreadsheets/d/1XL5vhW3sbDhbH9Cz0tuDiY8C3ctxq1tqvaCgkFb8cCA/edit?usp=sharing"",""กาฬสินธุ์!J16"")"),0)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IFERROR(__xludf.DUMMYFUNCTION("IMPORTRANGE(""https://docs.google.com/spreadsheets/d/1XL5vhW3sbDhbH9Cz0tuDiY8C3ctxq1tqvaCgkFb8cCA/edit?usp=sharing"",""กาฬสินธุ์!J17"")"),0)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IFERROR(__xludf.DUMMYFUNCTION("IMPORTRANGE(""https://docs.google.com/spreadsheets/d/1XL5vhW3sbDhbH9Cz0tuDiY8C3ctxq1tqvaCgkFb8cCA/edit?usp=sharing"",""กาฬสินธุ์!J18"")"),0)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IFERROR(__xludf.DUMMYFUNCTION("IMPORTRANGE(""https://docs.google.com/spreadsheets/d/1XL5vhW3sbDhbH9Cz0tuDiY8C3ctxq1tqvaCgkFb8cCA/edit?usp=sharing"",""กาฬสินธุ์!J19"")"),0)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IFERROR(__xludf.DUMMYFUNCTION("IMPORTRANGE(""https://docs.google.com/spreadsheets/d/1XL5vhW3sbDhbH9Cz0tuDiY8C3ctxq1tqvaCgkFb8cCA/edit?usp=sharing"",""กาฬสินธุ์!I20"")"),0)</f>
        <v>0</v>
      </c>
      <c r="J80" s="202">
        <f ca="1">IFERROR(__xludf.DUMMYFUNCTION("IMPORTRANGE(""https://docs.google.com/spreadsheets/d/1XL5vhW3sbDhbH9Cz0tuDiY8C3ctxq1tqvaCgkFb8cCA/edit?usp=sharing"",""กาฬสินธุ์!J20"")"),0)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IFERROR(__xludf.DUMMYFUNCTION("IMPORTRANGE(""https://docs.google.com/spreadsheets/d/1XL5vhW3sbDhbH9Cz0tuDiY8C3ctxq1tqvaCgkFb8cCA/edit?usp=sharing"",""กาฬสินธุ์!I21"")"),0)</f>
        <v>0</v>
      </c>
      <c r="J81" s="202">
        <f ca="1">IFERROR(__xludf.DUMMYFUNCTION("IMPORTRANGE(""https://docs.google.com/spreadsheets/d/1XL5vhW3sbDhbH9Cz0tuDiY8C3ctxq1tqvaCgkFb8cCA/edit?usp=sharing"",""กาฬสินธุ์!J21"")"),0)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IFERROR(__xludf.DUMMYFUNCTION("IMPORTRANGE(""https://docs.google.com/spreadsheets/d/1XL5vhW3sbDhbH9Cz0tuDiY8C3ctxq1tqvaCgkFb8cCA/edit?usp=sharing"",""กาฬสินธุ์!I22"")"),0)</f>
        <v>0</v>
      </c>
      <c r="J82" s="205">
        <f ca="1">IFERROR(__xludf.DUMMYFUNCTION("IMPORTRANGE(""https://docs.google.com/spreadsheets/d/1XL5vhW3sbDhbH9Cz0tuDiY8C3ctxq1tqvaCgkFb8cCA/edit?usp=sharing"",""กาฬสินธุ์!J22"")"),0)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IFERROR(__xludf.DUMMYFUNCTION("IMPORTRANGE(""https://docs.google.com/spreadsheets/d/1XL5vhW3sbDhbH9Cz0tuDiY8C3ctxq1tqvaCgkFb8cCA/edit?usp=sharing"",""กาฬสินธุ์!I23"")"),0)</f>
        <v>0</v>
      </c>
      <c r="J83" s="205">
        <f ca="1">IFERROR(__xludf.DUMMYFUNCTION("IMPORTRANGE(""https://docs.google.com/spreadsheets/d/1XL5vhW3sbDhbH9Cz0tuDiY8C3ctxq1tqvaCgkFb8cCA/edit?usp=sharing"",""กาฬสินธุ์!J23"")"),0)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IFERROR(__xludf.DUMMYFUNCTION("IMPORTRANGE(""https://docs.google.com/spreadsheets/d/1XL5vhW3sbDhbH9Cz0tuDiY8C3ctxq1tqvaCgkFb8cCA/edit?usp=sharing"",""กาฬสินธุ์!I24"")"),0)</f>
        <v>0</v>
      </c>
      <c r="J84" s="190">
        <f ca="1">IFERROR(__xludf.DUMMYFUNCTION("IMPORTRANGE(""https://docs.google.com/spreadsheets/d/1XL5vhW3sbDhbH9Cz0tuDiY8C3ctxq1tqvaCgkFb8cCA/edit?usp=sharing"",""กาฬสินธุ์!J24"")"),0)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IFERROR(__xludf.DUMMYFUNCTION("IMPORTRANGE(""https://docs.google.com/spreadsheets/d/1XL5vhW3sbDhbH9Cz0tuDiY8C3ctxq1tqvaCgkFb8cCA/edit?usp=sharing"",""กาฬสินธุ์!I25"")"),0)</f>
        <v>0</v>
      </c>
      <c r="J85" s="190">
        <f ca="1">IFERROR(__xludf.DUMMYFUNCTION("IMPORTRANGE(""https://docs.google.com/spreadsheets/d/1XL5vhW3sbDhbH9Cz0tuDiY8C3ctxq1tqvaCgkFb8cCA/edit?usp=sharing"",""กาฬสินธุ์!J25"")"),0)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IFERROR(__xludf.DUMMYFUNCTION("IMPORTRANGE(""https://docs.google.com/spreadsheets/d/1XL5vhW3sbDhbH9Cz0tuDiY8C3ctxq1tqvaCgkFb8cCA/edit?usp=sharing"",""กาฬสินธุ์!I26"")"),0)</f>
        <v>0</v>
      </c>
      <c r="J86" s="205">
        <f ca="1">IFERROR(__xludf.DUMMYFUNCTION("IMPORTRANGE(""https://docs.google.com/spreadsheets/d/1XL5vhW3sbDhbH9Cz0tuDiY8C3ctxq1tqvaCgkFb8cCA/edit?usp=sharing"",""กาฬสินธุ์!J26"")"),0)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IFERROR(__xludf.DUMMYFUNCTION("IMPORTRANGE(""https://docs.google.com/spreadsheets/d/1XL5vhW3sbDhbH9Cz0tuDiY8C3ctxq1tqvaCgkFb8cCA/edit?usp=sharing"",""กาฬสินธุ์!I27"")"),0)</f>
        <v>0</v>
      </c>
      <c r="J87" s="205">
        <f ca="1">IFERROR(__xludf.DUMMYFUNCTION("IMPORTRANGE(""https://docs.google.com/spreadsheets/d/1XL5vhW3sbDhbH9Cz0tuDiY8C3ctxq1tqvaCgkFb8cCA/edit?usp=sharing"",""กาฬสินธุ์!J27"")"),0)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IFERROR(__xludf.DUMMYFUNCTION("IMPORTRANGE(""https://docs.google.com/spreadsheets/d/1XL5vhW3sbDhbH9Cz0tuDiY8C3ctxq1tqvaCgkFb8cCA/edit?usp=sharing"",""กาฬสินธุ์!I28"")"),0)</f>
        <v>0</v>
      </c>
      <c r="J88" s="205">
        <f ca="1">IFERROR(__xludf.DUMMYFUNCTION("IMPORTRANGE(""https://docs.google.com/spreadsheets/d/1XL5vhW3sbDhbH9Cz0tuDiY8C3ctxq1tqvaCgkFb8cCA/edit?usp=sharing"",""กาฬสินธุ์!J28"")"),0)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IFERROR(__xludf.DUMMYFUNCTION("IMPORTRANGE(""https://docs.google.com/spreadsheets/d/1XL5vhW3sbDhbH9Cz0tuDiY8C3ctxq1tqvaCgkFb8cCA/edit?usp=sharing"",""กาฬสินธุ์!J29"")"),0)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IFERROR(__xludf.DUMMYFUNCTION("IMPORTRANGE(""https://docs.google.com/spreadsheets/d/1Yj_ptqi66GCucihVvJfMjLAmec39IyEx_6qawtMGysU/edit?usp=sharing"",""สบก!AR38"")"),0)</f>
        <v>0</v>
      </c>
      <c r="N98" s="170">
        <f ca="1">IFERROR(__xludf.DUMMYFUNCTION("IMPORTRANGE(""https://docs.google.com/spreadsheets/d/1Yj_ptqi66GCucihVvJfMjLAmec39IyEx_6qawtMGysU/edit?usp=sharing"",""สบก!AS38"")"),0)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IFERROR(__xludf.DUMMYFUNCTION("IMPORTRANGE(""https://docs.google.com/spreadsheets/d/1Yj_ptqi66GCucihVvJfMjLAmec39IyEx_6qawtMGysU/edit?usp=sharing"",""สบก!AN38"")"),0)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IFERROR(__xludf.DUMMYFUNCTION("IMPORTRANGE(""https://docs.google.com/spreadsheets/d/1Yj_ptqi66GCucihVvJfMjLAmec39IyEx_6qawtMGysU/edit?usp=sharing"",""สบก!AO38"")"),0)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IFERROR(__xludf.DUMMYFUNCTION("IMPORTRANGE(""https://docs.google.com/spreadsheets/d/1XL5vhW3sbDhbH9Cz0tuDiY8C3ctxq1tqvaCgkFb8cCA/edit?usp=sharing"",""กาฬสินธุ์!I43"")"),0)</f>
        <v>0</v>
      </c>
      <c r="J108" s="205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IFERROR(__xludf.DUMMYFUNCTION("IMPORTRANGE(""https://docs.google.com/spreadsheets/d/1XL5vhW3sbDhbH9Cz0tuDiY8C3ctxq1tqvaCgkFb8cCA/edit?usp=sharing"",""กาฬสินธุ์!I44"")"),0)</f>
        <v>0</v>
      </c>
      <c r="J109" s="205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IFERROR(__xludf.DUMMYFUNCTION("IMPORTRANGE(""https://docs.google.com/spreadsheets/d/1XL5vhW3sbDhbH9Cz0tuDiY8C3ctxq1tqvaCgkFb8cCA/edit?usp=sharing"",""กาฬสินธุ์!I45"")"),0)</f>
        <v>0</v>
      </c>
      <c r="J110" s="205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IFERROR(__xludf.DUMMYFUNCTION("IMPORTRANGE(""https://docs.google.com/spreadsheets/d/1XL5vhW3sbDhbH9Cz0tuDiY8C3ctxq1tqvaCgkFb8cCA/edit?usp=sharing"",""กาฬสินธุ์!I46"")"),0)</f>
        <v>0</v>
      </c>
      <c r="J111" s="205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IFERROR(__xludf.DUMMYFUNCTION("IMPORTRANGE(""https://docs.google.com/spreadsheets/d/1XL5vhW3sbDhbH9Cz0tuDiY8C3ctxq1tqvaCgkFb8cCA/edit?usp=sharing"",""กาฬสินธุ์!I47"")"),0)</f>
        <v>0</v>
      </c>
      <c r="J112" s="205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IFERROR(__xludf.DUMMYFUNCTION("IMPORTRANGE(""https://docs.google.com/spreadsheets/d/1XL5vhW3sbDhbH9Cz0tuDiY8C3ctxq1tqvaCgkFb8cCA/edit?usp=sharing"",""กาฬสินธุ์!I48"")"),0)</f>
        <v>0</v>
      </c>
      <c r="J113" s="205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18385</v>
      </c>
      <c r="O118" s="151">
        <f t="shared" ref="O118:O120" ca="1" si="59">IF(L118&gt;0,N118*100/L118,0)</f>
        <v>22.301067442988842</v>
      </c>
      <c r="P118" s="151">
        <f t="shared" ref="P118:P120" ca="1" si="60">IF(M118&gt;0,N118*100/M118,0)</f>
        <v>27.671583383503915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18385</v>
      </c>
      <c r="O120" s="156">
        <f t="shared" ca="1" si="59"/>
        <v>22.301067442988842</v>
      </c>
      <c r="P120" s="156">
        <f t="shared" ca="1" si="60"/>
        <v>27.671583383503915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IFERROR(__xludf.DUMMYFUNCTION("IMPORTRANGE(""https://docs.google.com/spreadsheets/d/1Yj_ptqi66GCucihVvJfMjLAmec39IyEx_6qawtMGysU/edit?usp=sharing"",""สบก!BA38"")"),66440)</f>
        <v>66440</v>
      </c>
      <c r="N122" s="170">
        <f ca="1">IFERROR(__xludf.DUMMYFUNCTION("IMPORTRANGE(""https://docs.google.com/spreadsheets/d/1Yj_ptqi66GCucihVvJfMjLAmec39IyEx_6qawtMGysU/edit?usp=sharing"",""สบก!BB38"")"),18385)</f>
        <v>18385</v>
      </c>
      <c r="O122" s="170">
        <f ca="1">IF(L122&gt;0,N122*100/L122,0)</f>
        <v>22.301067442988842</v>
      </c>
      <c r="P122" s="170">
        <f ca="1">IF(M122&gt;0,N122*100/M122,0)</f>
        <v>27.671583383503915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IFERROR(__xludf.DUMMYFUNCTION("IMPORTRANGE(""https://docs.google.com/spreadsheets/d/1Yj_ptqi66GCucihVvJfMjLAmec39IyEx_6qawtMGysU/edit?usp=sharing"",""สบก!AW38"")"),0)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IFERROR(__xludf.DUMMYFUNCTION("IMPORTRANGE(""https://docs.google.com/spreadsheets/d/1Yj_ptqi66GCucihVvJfMjLAmec39IyEx_6qawtMGysU/edit?usp=sharing"",""สบก!AX38"")"),82440)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239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IFERROR(__xludf.DUMMYFUNCTION("IMPORTRANGE(""https://docs.google.com/spreadsheets/d/1XL5vhW3sbDhbH9Cz0tuDiY8C3ctxq1tqvaCgkFb8cCA/edit?usp=sharing"",""กาฬสินธุ์!I62"")"),20)</f>
        <v>20</v>
      </c>
      <c r="J132" s="205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IFERROR(__xludf.DUMMYFUNCTION("IMPORTRANGE(""https://docs.google.com/spreadsheets/d/1XL5vhW3sbDhbH9Cz0tuDiY8C3ctxq1tqvaCgkFb8cCA/edit?usp=sharing"",""กาฬสินธุ์!I63"")"),20)</f>
        <v>20</v>
      </c>
      <c r="J133" s="205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83500</v>
      </c>
      <c r="M140" s="152">
        <f t="shared" ca="1" si="64"/>
        <v>53750</v>
      </c>
      <c r="N140" s="152">
        <f t="shared" ca="1" si="64"/>
        <v>38555</v>
      </c>
      <c r="O140" s="151">
        <f t="shared" ref="O140:O142" ca="1" si="65">IF(L140&gt;0,N140*100/L140,0)</f>
        <v>46.17365269461078</v>
      </c>
      <c r="P140" s="151">
        <f t="shared" ref="P140:P142" ca="1" si="66">IF(M140&gt;0,N140*100/M140,0)</f>
        <v>71.730232558139534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83500</v>
      </c>
      <c r="M142" s="157">
        <f t="shared" ca="1" si="68"/>
        <v>53750</v>
      </c>
      <c r="N142" s="157">
        <f t="shared" ca="1" si="68"/>
        <v>38555</v>
      </c>
      <c r="O142" s="156">
        <f t="shared" ca="1" si="65"/>
        <v>46.17365269461078</v>
      </c>
      <c r="P142" s="156">
        <f t="shared" ca="1" si="66"/>
        <v>71.730232558139534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83500</v>
      </c>
      <c r="M144" s="169">
        <f ca="1">IFERROR(__xludf.DUMMYFUNCTION("IMPORTRANGE(""https://docs.google.com/spreadsheets/d/1Yj_ptqi66GCucihVvJfMjLAmec39IyEx_6qawtMGysU/edit?usp=sharing"",""สบก!BJ38"")"),53750)</f>
        <v>53750</v>
      </c>
      <c r="N144" s="170">
        <f ca="1">IFERROR(__xludf.DUMMYFUNCTION("IMPORTRANGE(""https://docs.google.com/spreadsheets/d/1Yj_ptqi66GCucihVvJfMjLAmec39IyEx_6qawtMGysU/edit?usp=sharing"",""สบก!BK38"")"),38555)</f>
        <v>38555</v>
      </c>
      <c r="O144" s="170">
        <f ca="1">IF(L144&gt;0,N144*100/L144,0)</f>
        <v>46.17365269461078</v>
      </c>
      <c r="P144" s="170">
        <f ca="1">IF(M144&gt;0,N144*100/M144,0)</f>
        <v>71.730232558139534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IFERROR(__xludf.DUMMYFUNCTION("IMPORTRANGE(""https://docs.google.com/spreadsheets/d/1Yj_ptqi66GCucihVvJfMjLAmec39IyEx_6qawtMGysU/edit?usp=sharing"",""สบก!BF38"")"),0)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IFERROR(__xludf.DUMMYFUNCTION("IMPORTRANGE(""https://docs.google.com/spreadsheets/d/1Yj_ptqi66GCucihVvJfMjLAmec39IyEx_6qawtMGysU/edit?usp=sharing"",""สบก!BG38"")"),83500)</f>
        <v>83500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IFERROR(__xludf.DUMMYFUNCTION("IMPORTRANGE(""https://docs.google.com/spreadsheets/d/1XL5vhW3sbDhbH9Cz0tuDiY8C3ctxq1tqvaCgkFb8cCA/edit?usp=sharing"",""กาฬสินธุ์!J79"")"),0)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IFERROR(__xludf.DUMMYFUNCTION("IMPORTRANGE(""https://docs.google.com/spreadsheets/d/1XL5vhW3sbDhbH9Cz0tuDiY8C3ctxq1tqvaCgkFb8cCA/edit?usp=sharing"",""กาฬสินธุ์!J80"")"),1)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IFERROR(__xludf.DUMMYFUNCTION("IMPORTRANGE(""https://docs.google.com/spreadsheets/d/1XL5vhW3sbDhbH9Cz0tuDiY8C3ctxq1tqvaCgkFb8cCA/edit?usp=sharing"",""กาฬสินธุ์!J81"")"),1)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IFERROR(__xludf.DUMMYFUNCTION("IMPORTRANGE(""https://docs.google.com/spreadsheets/d/1XL5vhW3sbDhbH9Cz0tuDiY8C3ctxq1tqvaCgkFb8cCA/edit?usp=sharing"",""กาฬสินธุ์!J82"")"),0)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IFERROR(__xludf.DUMMYFUNCTION("IMPORTRANGE(""https://docs.google.com/spreadsheets/d/1XL5vhW3sbDhbH9Cz0tuDiY8C3ctxq1tqvaCgkFb8cCA/edit?usp=sharing"",""กาฬสินธุ์!I83"")"),4)</f>
        <v>4</v>
      </c>
      <c r="J158" s="190">
        <f ca="1">IFERROR(__xludf.DUMMYFUNCTION("IMPORTRANGE(""https://docs.google.com/spreadsheets/d/1XL5vhW3sbDhbH9Cz0tuDiY8C3ctxq1tqvaCgkFb8cCA/edit?usp=sharing"",""กาฬสินธุ์!J83"")"),0)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IFERROR(__xludf.DUMMYFUNCTION("IMPORTRANGE(""https://docs.google.com/spreadsheets/d/1XL5vhW3sbDhbH9Cz0tuDiY8C3ctxq1tqvaCgkFb8cCA/edit?usp=sharing"",""กาฬสินธุ์!J84"")"),0)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IFERROR(__xludf.DUMMYFUNCTION("IMPORTRANGE(""https://docs.google.com/spreadsheets/d/1XL5vhW3sbDhbH9Cz0tuDiY8C3ctxq1tqvaCgkFb8cCA/edit?usp=sharing"",""กาฬสินธุ์!J85"")"),0)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IFERROR(__xludf.DUMMYFUNCTION("IMPORTRANGE(""https://docs.google.com/spreadsheets/d/1XL5vhW3sbDhbH9Cz0tuDiY8C3ctxq1tqvaCgkFb8cCA/edit?usp=sharing"",""กาฬสินธุ์!J86"")"),0)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IFERROR(__xludf.DUMMYFUNCTION("IMPORTRANGE(""https://docs.google.com/spreadsheets/d/1XL5vhW3sbDhbH9Cz0tuDiY8C3ctxq1tqvaCgkFb8cCA/edit?usp=sharing"",""กาฬสินธุ์!J87"")"),0)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IFERROR(__xludf.DUMMYFUNCTION("IMPORTRANGE(""https://docs.google.com/spreadsheets/d/1XL5vhW3sbDhbH9Cz0tuDiY8C3ctxq1tqvaCgkFb8cCA/edit?usp=sharing"",""กาฬสินธุ์!I89"")"),3)</f>
        <v>3</v>
      </c>
      <c r="J164" s="284">
        <f ca="1">IFERROR(__xludf.DUMMYFUNCTION("IMPORTRANGE(""https://docs.google.com/spreadsheets/d/1XL5vhW3sbDhbH9Cz0tuDiY8C3ctxq1tqvaCgkFb8cCA/edit?usp=sharing"",""กาฬสินธุ์!J89"")"),0)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IFERROR(__xludf.DUMMYFUNCTION("IMPORTRANGE(""https://docs.google.com/spreadsheets/d/1XL5vhW3sbDhbH9Cz0tuDiY8C3ctxq1tqvaCgkFb8cCA/edit?usp=sharing"",""กาฬสินธุ์!J94"")"),0)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IFERROR(__xludf.DUMMYFUNCTION("IMPORTRANGE(""https://docs.google.com/spreadsheets/d/1XL5vhW3sbDhbH9Cz0tuDiY8C3ctxq1tqvaCgkFb8cCA/edit?usp=sharing"",""กาฬสินธุ์!J95"")"),1)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IFERROR(__xludf.DUMMYFUNCTION("IMPORTRANGE(""https://docs.google.com/spreadsheets/d/1XL5vhW3sbDhbH9Cz0tuDiY8C3ctxq1tqvaCgkFb8cCA/edit?usp=sharing"",""กาฬสินธุ์!J96"")"),1)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IFERROR(__xludf.DUMMYFUNCTION("IMPORTRANGE(""https://docs.google.com/spreadsheets/d/1XL5vhW3sbDhbH9Cz0tuDiY8C3ctxq1tqvaCgkFb8cCA/edit?usp=sharing"",""กาฬสินธุ์!J97"")"),0)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IFERROR(__xludf.DUMMYFUNCTION("IMPORTRANGE(""https://docs.google.com/spreadsheets/d/1XL5vhW3sbDhbH9Cz0tuDiY8C3ctxq1tqvaCgkFb8cCA/edit?usp=sharing"",""กาฬสินธุ์!I98"")"),3)</f>
        <v>3</v>
      </c>
      <c r="J173" s="190">
        <f ca="1">IFERROR(__xludf.DUMMYFUNCTION("IMPORTRANGE(""https://docs.google.com/spreadsheets/d/1XL5vhW3sbDhbH9Cz0tuDiY8C3ctxq1tqvaCgkFb8cCA/edit?usp=sharing"",""กาฬสินธุ์!J98"")"),0)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IFERROR(__xludf.DUMMYFUNCTION("IMPORTRANGE(""https://docs.google.com/spreadsheets/d/1XL5vhW3sbDhbH9Cz0tuDiY8C3ctxq1tqvaCgkFb8cCA/edit?usp=sharing"",""กาฬสินธุ์!J99"")"),0)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IFERROR(__xludf.DUMMYFUNCTION("IMPORTRANGE(""https://docs.google.com/spreadsheets/d/1XL5vhW3sbDhbH9Cz0tuDiY8C3ctxq1tqvaCgkFb8cCA/edit?usp=sharing"",""กาฬสินธุ์!I101"")"),0)</f>
        <v>0</v>
      </c>
      <c r="J176" s="284">
        <f ca="1">IFERROR(__xludf.DUMMYFUNCTION("IMPORTRANGE(""https://docs.google.com/spreadsheets/d/1XL5vhW3sbDhbH9Cz0tuDiY8C3ctxq1tqvaCgkFb8cCA/edit?usp=sharing"",""กาฬสินธุ์!J101"")"),0)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IFERROR(__xludf.DUMMYFUNCTION("IMPORTRANGE(""https://docs.google.com/spreadsheets/d/1XL5vhW3sbDhbH9Cz0tuDiY8C3ctxq1tqvaCgkFb8cCA/edit?usp=sharing"",""กาฬสินธุ์!I110"")"),0)</f>
        <v>0</v>
      </c>
      <c r="J185" s="205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IFERROR(__xludf.DUMMYFUNCTION("IMPORTRANGE(""https://docs.google.com/spreadsheets/d/1XL5vhW3sbDhbH9Cz0tuDiY8C3ctxq1tqvaCgkFb8cCA/edit?usp=sharing"",""กาฬสินธุ์!I111"")"),0)</f>
        <v>0</v>
      </c>
      <c r="J186" s="205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IFERROR(__xludf.DUMMYFUNCTION("IMPORTRANGE(""https://docs.google.com/spreadsheets/d/1XL5vhW3sbDhbH9Cz0tuDiY8C3ctxq1tqvaCgkFb8cCA/edit?usp=sharing"",""กาฬสินธุ์!I114"")"),100000)</f>
        <v>100000</v>
      </c>
      <c r="J189" s="284">
        <f ca="1">IFERROR(__xludf.DUMMYFUNCTION("IMPORTRANGE(""https://docs.google.com/spreadsheets/d/1XL5vhW3sbDhbH9Cz0tuDiY8C3ctxq1tqvaCgkFb8cCA/edit?usp=sharing"",""กาฬสินธุ์!J114"")"),0)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IFERROR(__xludf.DUMMYFUNCTION("IMPORTRANGE(""https://docs.google.com/spreadsheets/d/1XL5vhW3sbDhbH9Cz0tuDiY8C3ctxq1tqvaCgkFb8cCA/edit?usp=sharing"",""กาฬสินธุ์!J119"")"),0)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IFERROR(__xludf.DUMMYFUNCTION("IMPORTRANGE(""https://docs.google.com/spreadsheets/d/1XL5vhW3sbDhbH9Cz0tuDiY8C3ctxq1tqvaCgkFb8cCA/edit?usp=sharing"",""กาฬสินธุ์!J120"")"),1)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IFERROR(__xludf.DUMMYFUNCTION("IMPORTRANGE(""https://docs.google.com/spreadsheets/d/1XL5vhW3sbDhbH9Cz0tuDiY8C3ctxq1tqvaCgkFb8cCA/edit?usp=sharing"",""กาฬสินธุ์!J121"")"),1)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IFERROR(__xludf.DUMMYFUNCTION("IMPORTRANGE(""https://docs.google.com/spreadsheets/d/1XL5vhW3sbDhbH9Cz0tuDiY8C3ctxq1tqvaCgkFb8cCA/edit?usp=sharing"",""กาฬสินธุ์!J122"")"),0)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IFERROR(__xludf.DUMMYFUNCTION("IMPORTRANGE(""https://docs.google.com/spreadsheets/d/1XL5vhW3sbDhbH9Cz0tuDiY8C3ctxq1tqvaCgkFb8cCA/edit?usp=sharing"",""กาฬสินธุ์!I124"")"),100000)</f>
        <v>100000</v>
      </c>
      <c r="J199" s="190">
        <f ca="1">IFERROR(__xludf.DUMMYFUNCTION("IMPORTRANGE(""https://docs.google.com/spreadsheets/d/1XL5vhW3sbDhbH9Cz0tuDiY8C3ctxq1tqvaCgkFb8cCA/edit?usp=sharing"",""กาฬสินธุ์!J124"")"),0)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IFERROR(__xludf.DUMMYFUNCTION("IMPORTRANGE(""https://docs.google.com/spreadsheets/d/1XL5vhW3sbDhbH9Cz0tuDiY8C3ctxq1tqvaCgkFb8cCA/edit?usp=sharing"",""กาฬสินธุ์!I125"")"),100000)</f>
        <v>100000</v>
      </c>
      <c r="J200" s="190">
        <f ca="1">IFERROR(__xludf.DUMMYFUNCTION("IMPORTRANGE(""https://docs.google.com/spreadsheets/d/1XL5vhW3sbDhbH9Cz0tuDiY8C3ctxq1tqvaCgkFb8cCA/edit?usp=sharing"",""กาฬสินธุ์!J125"")"),0)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IFERROR(__xludf.DUMMYFUNCTION("IMPORTRANGE(""https://docs.google.com/spreadsheets/d/1XL5vhW3sbDhbH9Cz0tuDiY8C3ctxq1tqvaCgkFb8cCA/edit?usp=sharing"",""กาฬสินธุ์!I126"")"),0)</f>
        <v>0</v>
      </c>
      <c r="J201" s="190">
        <f ca="1">IFERROR(__xludf.DUMMYFUNCTION("IMPORTRANGE(""https://docs.google.com/spreadsheets/d/1XL5vhW3sbDhbH9Cz0tuDiY8C3ctxq1tqvaCgkFb8cCA/edit?usp=sharing"",""กาฬสินธุ์!J126"")"),0)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IFERROR(__xludf.DUMMYFUNCTION("IMPORTRANGE(""https://docs.google.com/spreadsheets/d/1XL5vhW3sbDhbH9Cz0tuDiY8C3ctxq1tqvaCgkFb8cCA/edit?usp=sharing"",""กาฬสินธุ์!J127"")"),0)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IFERROR(__xludf.DUMMYFUNCTION("IMPORTRANGE(""https://docs.google.com/spreadsheets/d/1XL5vhW3sbDhbH9Cz0tuDiY8C3ctxq1tqvaCgkFb8cCA/edit?usp=sharing"",""กาฬสินธุ์!J128"")"),0)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IFERROR(__xludf.DUMMYFUNCTION("IMPORTRANGE(""https://docs.google.com/spreadsheets/d/1XL5vhW3sbDhbH9Cz0tuDiY8C3ctxq1tqvaCgkFb8cCA/edit?usp=sharing"",""กาฬสินธุ์!I129"")"),0)</f>
        <v>0</v>
      </c>
      <c r="J204" s="284">
        <f ca="1">IFERROR(__xludf.DUMMYFUNCTION("IMPORTRANGE(""https://docs.google.com/spreadsheets/d/1XL5vhW3sbDhbH9Cz0tuDiY8C3ctxq1tqvaCgkFb8cCA/edit?usp=sharing"",""กาฬสินธุ์!J129"")"),0)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IFERROR(__xludf.DUMMYFUNCTION("IMPORTRANGE(""https://docs.google.com/spreadsheets/d/1XL5vhW3sbDhbH9Cz0tuDiY8C3ctxq1tqvaCgkFb8cCA/edit?usp=sharing"",""กาฬสินธุ์!I138"")"),0)</f>
        <v>0</v>
      </c>
      <c r="J213" s="205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IFERROR(__xludf.DUMMYFUNCTION("IMPORTRANGE(""https://docs.google.com/spreadsheets/d/1XL5vhW3sbDhbH9Cz0tuDiY8C3ctxq1tqvaCgkFb8cCA/edit?usp=sharing"",""กาฬสินธุ์!I140"")"),0)</f>
        <v>0</v>
      </c>
      <c r="J215" s="205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IFERROR(__xludf.DUMMYFUNCTION("IMPORTRANGE(""https://docs.google.com/spreadsheets/d/1XL5vhW3sbDhbH9Cz0tuDiY8C3ctxq1tqvaCgkFb8cCA/edit?usp=sharing"",""กาฬสินธุ์!I141"")"),0)</f>
        <v>0</v>
      </c>
      <c r="J216" s="205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20675</v>
      </c>
      <c r="O220" s="151">
        <f t="shared" ref="O220:O222" ca="1" si="73">IF(L220&gt;0,N220*100/L220,0)</f>
        <v>97.869822485207095</v>
      </c>
      <c r="P220" s="151">
        <f t="shared" ref="P220:P222" ca="1" si="74">IF(M220&gt;0,N220*100/M220,0)</f>
        <v>97.869822485207095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20675</v>
      </c>
      <c r="O222" s="156">
        <f t="shared" ca="1" si="73"/>
        <v>97.869822485207095</v>
      </c>
      <c r="P222" s="156">
        <f t="shared" ca="1" si="74"/>
        <v>97.869822485207095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IFERROR(__xludf.DUMMYFUNCTION("IMPORTRANGE(""https://docs.google.com/spreadsheets/d/1Yj_ptqi66GCucihVvJfMjLAmec39IyEx_6qawtMGysU/edit?usp=sharing"",""สบก!BS38"")"),21125)</f>
        <v>21125</v>
      </c>
      <c r="N224" s="170">
        <f ca="1">IFERROR(__xludf.DUMMYFUNCTION("IMPORTRANGE(""https://docs.google.com/spreadsheets/d/1Yj_ptqi66GCucihVvJfMjLAmec39IyEx_6qawtMGysU/edit?usp=sharing"",""สบก!BT38"")"),20675)</f>
        <v>20675</v>
      </c>
      <c r="O224" s="170">
        <f ca="1">IF(L224&gt;0,N224*100/L224,0)</f>
        <v>97.869822485207095</v>
      </c>
      <c r="P224" s="170">
        <f ca="1">IF(M224&gt;0,N224*100/M224,0)</f>
        <v>97.869822485207095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IFERROR(__xludf.DUMMYFUNCTION("IMPORTRANGE(""https://docs.google.com/spreadsheets/d/1Yj_ptqi66GCucihVvJfMjLAmec39IyEx_6qawtMGysU/edit?usp=sharing"",""สบก!BO38"")"),0)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IFERROR(__xludf.DUMMYFUNCTION("IMPORTRANGE(""https://docs.google.com/spreadsheets/d/1Yj_ptqi66GCucihVvJfMjLAmec39IyEx_6qawtMGysU/edit?usp=sharing"",""สบก!BP38"")"),21125)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IFERROR(__xludf.DUMMYFUNCTION("IMPORTRANGE(""https://docs.google.com/spreadsheets/d/1XL5vhW3sbDhbH9Cz0tuDiY8C3ctxq1tqvaCgkFb8cCA/edit?usp=sharing"",""กาฬสินธุ์!J151"")"),0)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IFERROR(__xludf.DUMMYFUNCTION("IMPORTRANGE(""https://docs.google.com/spreadsheets/d/1XL5vhW3sbDhbH9Cz0tuDiY8C3ctxq1tqvaCgkFb8cCA/edit?usp=sharing"",""กาฬสินธุ์!J152"")"),1)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IFERROR(__xludf.DUMMYFUNCTION("IMPORTRANGE(""https://docs.google.com/spreadsheets/d/1XL5vhW3sbDhbH9Cz0tuDiY8C3ctxq1tqvaCgkFb8cCA/edit?usp=sharing"",""กาฬสินธุ์!J153"")"),1)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IFERROR(__xludf.DUMMYFUNCTION("IMPORTRANGE(""https://docs.google.com/spreadsheets/d/1XL5vhW3sbDhbH9Cz0tuDiY8C3ctxq1tqvaCgkFb8cCA/edit?usp=sharing"",""กาฬสินธุ์!J154"")"),1)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IFERROR(__xludf.DUMMYFUNCTION("IMPORTRANGE(""https://docs.google.com/spreadsheets/d/1XL5vhW3sbDhbH9Cz0tuDiY8C3ctxq1tqvaCgkFb8cCA/edit?usp=sharing"",""กาฬสินธุ์!I155"")"),15)</f>
        <v>15</v>
      </c>
      <c r="J235" s="190">
        <f ca="1">IFERROR(__xludf.DUMMYFUNCTION("IMPORTRANGE(""https://docs.google.com/spreadsheets/d/1XL5vhW3sbDhbH9Cz0tuDiY8C3ctxq1tqvaCgkFb8cCA/edit?usp=sharing"",""กาฬสินธุ์!J155"")"),15)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IFERROR(__xludf.DUMMYFUNCTION("IMPORTRANGE(""https://docs.google.com/spreadsheets/d/1XL5vhW3sbDhbH9Cz0tuDiY8C3ctxq1tqvaCgkFb8cCA/edit?usp=sharing"",""กาฬสินธุ์!J156"")"),0)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IFERROR(__xludf.DUMMYFUNCTION("IMPORTRANGE(""https://docs.google.com/spreadsheets/d/1XL5vhW3sbDhbH9Cz0tuDiY8C3ctxq1tqvaCgkFb8cCA/edit?usp=sharing"",""กาฬสินธุ์!J159"")"),"")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IFERROR(__xludf.DUMMYFUNCTION("IMPORTRANGE(""https://docs.google.com/spreadsheets/d/1XL5vhW3sbDhbH9Cz0tuDiY8C3ctxq1tqvaCgkFb8cCA/edit?usp=sharing"",""กาฬสินธุ์!J161"")"),0)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IFERROR(__xludf.DUMMYFUNCTION("IMPORTRANGE(""https://docs.google.com/spreadsheets/d/1XL5vhW3sbDhbH9Cz0tuDiY8C3ctxq1tqvaCgkFb8cCA/edit?usp=sharing"",""กาฬสินธุ์!J162"")"),0)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IFERROR(__xludf.DUMMYFUNCTION("IMPORTRANGE(""https://docs.google.com/spreadsheets/d/1XL5vhW3sbDhbH9Cz0tuDiY8C3ctxq1tqvaCgkFb8cCA/edit?usp=sharing"",""กาฬสินธุ์!J163"")"),0)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IFERROR(__xludf.DUMMYFUNCTION("IMPORTRANGE(""https://docs.google.com/spreadsheets/d/1XL5vhW3sbDhbH9Cz0tuDiY8C3ctxq1tqvaCgkFb8cCA/edit?usp=sharing"",""กาฬสินธุ์!I164"")"),0)</f>
        <v>0</v>
      </c>
      <c r="J244" s="189">
        <f ca="1">IFERROR(__xludf.DUMMYFUNCTION("IMPORTRANGE(""https://docs.google.com/spreadsheets/d/1XL5vhW3sbDhbH9Cz0tuDiY8C3ctxq1tqvaCgkFb8cCA/edit?usp=sharing"",""กาฬสินธุ์!J164"")"),0)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IFERROR(__xludf.DUMMYFUNCTION("IMPORTRANGE(""https://docs.google.com/spreadsheets/d/1XL5vhW3sbDhbH9Cz0tuDiY8C3ctxq1tqvaCgkFb8cCA/edit?usp=sharing"",""กาฬสินธุ์!J165"")"),0)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IFERROR(__xludf.DUMMYFUNCTION("IMPORTRANGE(""https://docs.google.com/spreadsheets/d/1XL5vhW3sbDhbH9Cz0tuDiY8C3ctxq1tqvaCgkFb8cCA/edit?usp=sharing"",""กาฬสินธุ์!I169"")"),20)</f>
        <v>20</v>
      </c>
      <c r="J249" s="316">
        <f ca="1">IFERROR(__xludf.DUMMYFUNCTION("IMPORTRANGE(""https://docs.google.com/spreadsheets/d/1XL5vhW3sbDhbH9Cz0tuDiY8C3ctxq1tqvaCgkFb8cCA/edit?usp=sharing"",""กาฬสินธุ์!J169"")"),20)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335400</v>
      </c>
      <c r="M250" s="152">
        <f t="shared" ca="1" si="77"/>
        <v>169000</v>
      </c>
      <c r="N250" s="152">
        <f t="shared" ca="1" si="77"/>
        <v>119150</v>
      </c>
      <c r="O250" s="151">
        <f t="shared" ref="O250:O252" ca="1" si="78">IF(L250&gt;0,N250*100/L250,0)</f>
        <v>35.524746571258198</v>
      </c>
      <c r="P250" s="151">
        <f t="shared" ref="P250:P252" ca="1" si="79">IF(M250&gt;0,N250*100/M250,0)</f>
        <v>70.50295857988165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335400</v>
      </c>
      <c r="M252" s="157">
        <f t="shared" ca="1" si="81"/>
        <v>169000</v>
      </c>
      <c r="N252" s="157">
        <f t="shared" ca="1" si="81"/>
        <v>119150</v>
      </c>
      <c r="O252" s="156">
        <f t="shared" ca="1" si="78"/>
        <v>35.524746571258198</v>
      </c>
      <c r="P252" s="156">
        <f t="shared" ca="1" si="79"/>
        <v>70.50295857988165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335400</v>
      </c>
      <c r="M254" s="169">
        <f ca="1">IFERROR(__xludf.DUMMYFUNCTION("IMPORTRANGE(""https://docs.google.com/spreadsheets/d/1Yj_ptqi66GCucihVvJfMjLAmec39IyEx_6qawtMGysU/edit?usp=sharing"",""สบก!CB38"")"),169000)</f>
        <v>169000</v>
      </c>
      <c r="N254" s="170">
        <f ca="1">IFERROR(__xludf.DUMMYFUNCTION("IMPORTRANGE(""https://docs.google.com/spreadsheets/d/1Yj_ptqi66GCucihVvJfMjLAmec39IyEx_6qawtMGysU/edit?usp=sharing"",""สบก!CC38"")"),119150)</f>
        <v>119150</v>
      </c>
      <c r="O254" s="170">
        <f ca="1">IF(L254&gt;0,N254*100/L254,0)</f>
        <v>35.524746571258198</v>
      </c>
      <c r="P254" s="170">
        <f ca="1">IF(M254&gt;0,N254*100/M254,0)</f>
        <v>70.50295857988165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IFERROR(__xludf.DUMMYFUNCTION("IMPORTRANGE(""https://docs.google.com/spreadsheets/d/1Yj_ptqi66GCucihVvJfMjLAmec39IyEx_6qawtMGysU/edit?usp=sharing"",""สบก!BX38"")"),264000)</f>
        <v>264000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IFERROR(__xludf.DUMMYFUNCTION("IMPORTRANGE(""https://docs.google.com/spreadsheets/d/1Yj_ptqi66GCucihVvJfMjLAmec39IyEx_6qawtMGysU/edit?usp=sharing"",""สบก!BY38"")"),71400)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IFERROR(__xludf.DUMMYFUNCTION("IMPORTRANGE(""https://docs.google.com/spreadsheets/d/1XL5vhW3sbDhbH9Cz0tuDiY8C3ctxq1tqvaCgkFb8cCA/edit?usp=sharing"",""กาฬสินธุ์!J175"")"),0)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IFERROR(__xludf.DUMMYFUNCTION("IMPORTRANGE(""https://docs.google.com/spreadsheets/d/1XL5vhW3sbDhbH9Cz0tuDiY8C3ctxq1tqvaCgkFb8cCA/edit?usp=sharing"",""กาฬสินธุ์!J176"")"),1)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IFERROR(__xludf.DUMMYFUNCTION("IMPORTRANGE(""https://docs.google.com/spreadsheets/d/1XL5vhW3sbDhbH9Cz0tuDiY8C3ctxq1tqvaCgkFb8cCA/edit?usp=sharing"",""กาฬสินธุ์!J177"")"),1)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IFERROR(__xludf.DUMMYFUNCTION("IMPORTRANGE(""https://docs.google.com/spreadsheets/d/1XL5vhW3sbDhbH9Cz0tuDiY8C3ctxq1tqvaCgkFb8cCA/edit?usp=sharing"",""กาฬสินธุ์!J178"")"),1)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IFERROR(__xludf.DUMMYFUNCTION("IMPORTRANGE(""https://docs.google.com/spreadsheets/d/1XL5vhW3sbDhbH9Cz0tuDiY8C3ctxq1tqvaCgkFb8cCA/edit?usp=sharing"",""กาฬสินธุ์!I179"")"),1)</f>
        <v>1</v>
      </c>
      <c r="J264" s="190">
        <f ca="1">IFERROR(__xludf.DUMMYFUNCTION("IMPORTRANGE(""https://docs.google.com/spreadsheets/d/1XL5vhW3sbDhbH9Cz0tuDiY8C3ctxq1tqvaCgkFb8cCA/edit?usp=sharing"",""กาฬสินธุ์!J179"")"),0)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IFERROR(__xludf.DUMMYFUNCTION("IMPORTRANGE(""https://docs.google.com/spreadsheets/d/1XL5vhW3sbDhbH9Cz0tuDiY8C3ctxq1tqvaCgkFb8cCA/edit?usp=sharing"",""กาฬสินธุ์!I180"")"),20)</f>
        <v>20</v>
      </c>
      <c r="J265" s="190">
        <f ca="1">IFERROR(__xludf.DUMMYFUNCTION("IMPORTRANGE(""https://docs.google.com/spreadsheets/d/1XL5vhW3sbDhbH9Cz0tuDiY8C3ctxq1tqvaCgkFb8cCA/edit?usp=sharing"",""กาฬสินธุ์!J180"")"),20)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IFERROR(__xludf.DUMMYFUNCTION("IMPORTRANGE(""https://docs.google.com/spreadsheets/d/1XL5vhW3sbDhbH9Cz0tuDiY8C3ctxq1tqvaCgkFb8cCA/edit?usp=sharing"",""กาฬสินธุ์!I181"")"),20)</f>
        <v>20</v>
      </c>
      <c r="J266" s="190">
        <f ca="1">IFERROR(__xludf.DUMMYFUNCTION("IMPORTRANGE(""https://docs.google.com/spreadsheets/d/1XL5vhW3sbDhbH9Cz0tuDiY8C3ctxq1tqvaCgkFb8cCA/edit?usp=sharing"",""กาฬสินธุ์!J181"")"),0)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IFERROR(__xludf.DUMMYFUNCTION("IMPORTRANGE(""https://docs.google.com/spreadsheets/d/1XL5vhW3sbDhbH9Cz0tuDiY8C3ctxq1tqvaCgkFb8cCA/edit?usp=sharing"",""กาฬสินธุ์!I182"")"),1)</f>
        <v>1</v>
      </c>
      <c r="J267" s="190">
        <f ca="1">IFERROR(__xludf.DUMMYFUNCTION("IMPORTRANGE(""https://docs.google.com/spreadsheets/d/1XL5vhW3sbDhbH9Cz0tuDiY8C3ctxq1tqvaCgkFb8cCA/edit?usp=sharing"",""กาฬสินธุ์!J182"")"),1)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IFERROR(__xludf.DUMMYFUNCTION("IMPORTRANGE(""https://docs.google.com/spreadsheets/d/1XL5vhW3sbDhbH9Cz0tuDiY8C3ctxq1tqvaCgkFb8cCA/edit?usp=sharing"",""กาฬสินธุ์!J183"")"),0)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IFERROR(__xludf.DUMMYFUNCTION("IMPORTRANGE(""https://docs.google.com/spreadsheets/d/1XL5vhW3sbDhbH9Cz0tuDiY8C3ctxq1tqvaCgkFb8cCA/edit?usp=sharing"",""กาฬสินธุ์!J184"")"),0)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IFERROR(__xludf.DUMMYFUNCTION("IMPORTRANGE(""https://docs.google.com/spreadsheets/d/1XL5vhW3sbDhbH9Cz0tuDiY8C3ctxq1tqvaCgkFb8cCA/edit?usp=sharing"",""กาฬสินธุ์!I185"")"),20)</f>
        <v>20</v>
      </c>
      <c r="J270" s="316">
        <f ca="1">IFERROR(__xludf.DUMMYFUNCTION("IMPORTRANGE(""https://docs.google.com/spreadsheets/d/1XL5vhW3sbDhbH9Cz0tuDiY8C3ctxq1tqvaCgkFb8cCA/edit?usp=sharing"",""กาฬสินธุ์!J185"")"),0)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88000</v>
      </c>
      <c r="N271" s="152">
        <f t="shared" ca="1" si="83"/>
        <v>50387</v>
      </c>
      <c r="O271" s="151">
        <f t="shared" ref="O271:O273" ca="1" si="84">IF(L271&gt;0,N271*100/L271,0)</f>
        <v>27.443899782135077</v>
      </c>
      <c r="P271" s="151">
        <f t="shared" ref="P271:P273" ca="1" si="85">IF(M271&gt;0,N271*100/M271,0)</f>
        <v>57.257954545454545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88000</v>
      </c>
      <c r="N273" s="157">
        <f t="shared" ca="1" si="87"/>
        <v>50387</v>
      </c>
      <c r="O273" s="156">
        <f t="shared" ca="1" si="84"/>
        <v>27.443899782135077</v>
      </c>
      <c r="P273" s="156">
        <f t="shared" ca="1" si="85"/>
        <v>57.257954545454545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IFERROR(__xludf.DUMMYFUNCTION("IMPORTRANGE(""https://docs.google.com/spreadsheets/d/1Yj_ptqi66GCucihVvJfMjLAmec39IyEx_6qawtMGysU/edit?usp=sharing"",""สบก!CK38"")"),88000)</f>
        <v>88000</v>
      </c>
      <c r="N275" s="170">
        <f ca="1">IFERROR(__xludf.DUMMYFUNCTION("IMPORTRANGE(""https://docs.google.com/spreadsheets/d/1Yj_ptqi66GCucihVvJfMjLAmec39IyEx_6qawtMGysU/edit?usp=sharing"",""สบก!CL38"")"),50387)</f>
        <v>50387</v>
      </c>
      <c r="O275" s="170">
        <f ca="1">IF(L275&gt;0,N275*100/L275,0)</f>
        <v>27.443899782135077</v>
      </c>
      <c r="P275" s="170">
        <f ca="1">IF(M275&gt;0,N275*100/M275,0)</f>
        <v>57.257954545454545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IFERROR(__xludf.DUMMYFUNCTION("IMPORTRANGE(""https://docs.google.com/spreadsheets/d/1Yj_ptqi66GCucihVvJfMjLAmec39IyEx_6qawtMGysU/edit?usp=sharing"",""สบก!CG38"")"),0)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IFERROR(__xludf.DUMMYFUNCTION("IMPORTRANGE(""https://docs.google.com/spreadsheets/d/1Yj_ptqi66GCucihVvJfMjLAmec39IyEx_6qawtMGysU/edit?usp=sharing"",""สบก!CH38"")"),183600)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IFERROR(__xludf.DUMMYFUNCTION("IMPORTRANGE(""https://docs.google.com/spreadsheets/d/1XL5vhW3sbDhbH9Cz0tuDiY8C3ctxq1tqvaCgkFb8cCA/edit?usp=sharing"",""กาฬสินธุ์!J191"")"),0)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IFERROR(__xludf.DUMMYFUNCTION("IMPORTRANGE(""https://docs.google.com/spreadsheets/d/1XL5vhW3sbDhbH9Cz0tuDiY8C3ctxq1tqvaCgkFb8cCA/edit?usp=sharing"",""กาฬสินธุ์!J192"")"),1)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IFERROR(__xludf.DUMMYFUNCTION("IMPORTRANGE(""https://docs.google.com/spreadsheets/d/1XL5vhW3sbDhbH9Cz0tuDiY8C3ctxq1tqvaCgkFb8cCA/edit?usp=sharing"",""กาฬสินธุ์!J193"")"),1)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IFERROR(__xludf.DUMMYFUNCTION("IMPORTRANGE(""https://docs.google.com/spreadsheets/d/1XL5vhW3sbDhbH9Cz0tuDiY8C3ctxq1tqvaCgkFb8cCA/edit?usp=sharing"",""กาฬสินธุ์!J194"")"),0)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IFERROR(__xludf.DUMMYFUNCTION("IMPORTRANGE(""https://docs.google.com/spreadsheets/d/1XL5vhW3sbDhbH9Cz0tuDiY8C3ctxq1tqvaCgkFb8cCA/edit?usp=sharing"",""กาฬสินธุ์!I195"")"),20)</f>
        <v>20</v>
      </c>
      <c r="J285" s="190">
        <f ca="1">IFERROR(__xludf.DUMMYFUNCTION("IMPORTRANGE(""https://docs.google.com/spreadsheets/d/1XL5vhW3sbDhbH9Cz0tuDiY8C3ctxq1tqvaCgkFb8cCA/edit?usp=sharing"",""กาฬสินธุ์!J195"")"),0)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IFERROR(__xludf.DUMMYFUNCTION("IMPORTRANGE(""https://docs.google.com/spreadsheets/d/1XL5vhW3sbDhbH9Cz0tuDiY8C3ctxq1tqvaCgkFb8cCA/edit?usp=sharing"",""กาฬสินธุ์!J196"")"),0)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IFERROR(__xludf.DUMMYFUNCTION("IMPORTRANGE(""https://docs.google.com/spreadsheets/d/1XL5vhW3sbDhbH9Cz0tuDiY8C3ctxq1tqvaCgkFb8cCA/edit?usp=sharing"",""กาฬสินธุ์!I199"")"),15)</f>
        <v>15</v>
      </c>
      <c r="J289" s="316">
        <f ca="1">IFERROR(__xludf.DUMMYFUNCTION("IMPORTRANGE(""https://docs.google.com/spreadsheets/d/1XL5vhW3sbDhbH9Cz0tuDiY8C3ctxq1tqvaCgkFb8cCA/edit?usp=sharing"",""กาฬสินธุ์!J199"")"),0)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72260</v>
      </c>
      <c r="M290" s="152">
        <f t="shared" ca="1" si="88"/>
        <v>29980</v>
      </c>
      <c r="N290" s="152">
        <f t="shared" ca="1" si="88"/>
        <v>15310</v>
      </c>
      <c r="O290" s="151">
        <f t="shared" ref="O290:O292" ca="1" si="89">IF(L290&gt;0,N290*100/L290,0)</f>
        <v>21.187378909493496</v>
      </c>
      <c r="P290" s="151">
        <f t="shared" ref="P290:P292" ca="1" si="90">IF(M290&gt;0,N290*100/M290,0)</f>
        <v>51.067378252168112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72260</v>
      </c>
      <c r="M292" s="157">
        <f t="shared" ca="1" si="92"/>
        <v>29980</v>
      </c>
      <c r="N292" s="157">
        <f t="shared" ca="1" si="92"/>
        <v>15310</v>
      </c>
      <c r="O292" s="156">
        <f t="shared" ca="1" si="89"/>
        <v>21.187378909493496</v>
      </c>
      <c r="P292" s="156">
        <f t="shared" ca="1" si="90"/>
        <v>51.067378252168112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72260</v>
      </c>
      <c r="M294" s="169">
        <f ca="1">IFERROR(__xludf.DUMMYFUNCTION("IMPORTRANGE(""https://docs.google.com/spreadsheets/d/1Yj_ptqi66GCucihVvJfMjLAmec39IyEx_6qawtMGysU/edit?usp=sharing"",""สบก!CT38"")"),29980)</f>
        <v>29980</v>
      </c>
      <c r="N294" s="170">
        <f ca="1">IFERROR(__xludf.DUMMYFUNCTION("IMPORTRANGE(""https://docs.google.com/spreadsheets/d/1Yj_ptqi66GCucihVvJfMjLAmec39IyEx_6qawtMGysU/edit?usp=sharing"",""สบก!CU38"")"),15310)</f>
        <v>15310</v>
      </c>
      <c r="O294" s="170">
        <f ca="1">IF(L294&gt;0,N294*100/L294,0)</f>
        <v>21.187378909493496</v>
      </c>
      <c r="P294" s="170">
        <f ca="1">IF(M294&gt;0,N294*100/M294,0)</f>
        <v>51.067378252168112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IFERROR(__xludf.DUMMYFUNCTION("IMPORTRANGE(""https://docs.google.com/spreadsheets/d/1Yj_ptqi66GCucihVvJfMjLAmec39IyEx_6qawtMGysU/edit?usp=sharing"",""สบก!CP38"")"),0)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IFERROR(__xludf.DUMMYFUNCTION("IMPORTRANGE(""https://docs.google.com/spreadsheets/d/1Yj_ptqi66GCucihVvJfMjLAmec39IyEx_6qawtMGysU/edit?usp=sharing"",""สบก!CQ38"")"),72260)</f>
        <v>72260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IFERROR(__xludf.DUMMYFUNCTION("IMPORTRANGE(""https://docs.google.com/spreadsheets/d/1XL5vhW3sbDhbH9Cz0tuDiY8C3ctxq1tqvaCgkFb8cCA/edit?usp=sharing"",""กาฬสินธุ์!J208"")"),0)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IFERROR(__xludf.DUMMYFUNCTION("IMPORTRANGE(""https://docs.google.com/spreadsheets/d/1XL5vhW3sbDhbH9Cz0tuDiY8C3ctxq1tqvaCgkFb8cCA/edit?usp=sharing"",""กาฬสินธุ์!I209"")"),15)</f>
        <v>15</v>
      </c>
      <c r="J304" s="205">
        <f ca="1">IFERROR(__xludf.DUMMYFUNCTION("IMPORTRANGE(""https://docs.google.com/spreadsheets/d/1XL5vhW3sbDhbH9Cz0tuDiY8C3ctxq1tqvaCgkFb8cCA/edit?usp=sharing"",""กาฬสินธุ์!J209"")"),0)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IFERROR(__xludf.DUMMYFUNCTION("IMPORTRANGE(""https://docs.google.com/spreadsheets/d/1XL5vhW3sbDhbH9Cz0tuDiY8C3ctxq1tqvaCgkFb8cCA/edit?usp=sharing"",""กาฬสินธุ์!I211"")"),15)</f>
        <v>15</v>
      </c>
      <c r="J306" s="205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IFERROR(__xludf.DUMMYFUNCTION("IMPORTRANGE(""https://docs.google.com/spreadsheets/d/1XL5vhW3sbDhbH9Cz0tuDiY8C3ctxq1tqvaCgkFb8cCA/edit?usp=sharing"",""กาฬสินธุ์!I214"")"),1)</f>
        <v>1</v>
      </c>
      <c r="J309" s="333">
        <f ca="1">IFERROR(__xludf.DUMMYFUNCTION("IMPORTRANGE(""https://docs.google.com/spreadsheets/d/1XL5vhW3sbDhbH9Cz0tuDiY8C3ctxq1tqvaCgkFb8cCA/edit?usp=sharing"",""กาฬสินธุ์!J214"")"),0)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217600</v>
      </c>
      <c r="M310" s="152">
        <f t="shared" ca="1" si="93"/>
        <v>108800</v>
      </c>
      <c r="N310" s="152">
        <f t="shared" ca="1" si="93"/>
        <v>59075</v>
      </c>
      <c r="O310" s="151">
        <f t="shared" ref="O310:O312" ca="1" si="94">IF(L310&gt;0,N310*100/L310,0)</f>
        <v>27.1484375</v>
      </c>
      <c r="P310" s="151">
        <f t="shared" ref="P310:P312" ca="1" si="95">IF(M310&gt;0,N310*100/M310,0)</f>
        <v>54.296875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217600</v>
      </c>
      <c r="M312" s="157">
        <f t="shared" ca="1" si="97"/>
        <v>108800</v>
      </c>
      <c r="N312" s="157">
        <f t="shared" ca="1" si="97"/>
        <v>59075</v>
      </c>
      <c r="O312" s="156">
        <f t="shared" ca="1" si="94"/>
        <v>27.1484375</v>
      </c>
      <c r="P312" s="156">
        <f t="shared" ca="1" si="95"/>
        <v>54.296875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217600</v>
      </c>
      <c r="M314" s="169">
        <f ca="1">IFERROR(__xludf.DUMMYFUNCTION("IMPORTRANGE(""https://docs.google.com/spreadsheets/d/1Yj_ptqi66GCucihVvJfMjLAmec39IyEx_6qawtMGysU/edit?usp=sharing"",""สบก!DC38"")"),108800)</f>
        <v>108800</v>
      </c>
      <c r="N314" s="170">
        <f ca="1">IFERROR(__xludf.DUMMYFUNCTION("IMPORTRANGE(""https://docs.google.com/spreadsheets/d/1Yj_ptqi66GCucihVvJfMjLAmec39IyEx_6qawtMGysU/edit?usp=sharing"",""สบก!DD38"")"),59075)</f>
        <v>59075</v>
      </c>
      <c r="O314" s="170">
        <f ca="1">IF(L314&gt;0,N314*100/L314,0)</f>
        <v>27.1484375</v>
      </c>
      <c r="P314" s="170">
        <f ca="1">IF(M314&gt;0,N314*100/M314,0)</f>
        <v>54.296875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IFERROR(__xludf.DUMMYFUNCTION("IMPORTRANGE(""https://docs.google.com/spreadsheets/d/1Yj_ptqi66GCucihVvJfMjLAmec39IyEx_6qawtMGysU/edit?usp=sharing"",""สบก!CY38"")"),0)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IFERROR(__xludf.DUMMYFUNCTION("IMPORTRANGE(""https://docs.google.com/spreadsheets/d/1Yj_ptqi66GCucihVvJfMjLAmec39IyEx_6qawtMGysU/edit?usp=sharing"",""สบก!CZ38"")"),217600)</f>
        <v>217600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IFERROR(__xludf.DUMMYFUNCTION("IMPORTRANGE(""https://docs.google.com/spreadsheets/d/1XL5vhW3sbDhbH9Cz0tuDiY8C3ctxq1tqvaCgkFb8cCA/edit?usp=sharing"",""กาฬสินธุ์!J223"")"),0)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IFERROR(__xludf.DUMMYFUNCTION("IMPORTRANGE(""https://docs.google.com/spreadsheets/d/1XL5vhW3sbDhbH9Cz0tuDiY8C3ctxq1tqvaCgkFb8cCA/edit?usp=sharing"",""กาฬสินธุ์!I224"")"),1)</f>
        <v>1</v>
      </c>
      <c r="J324" s="205">
        <f ca="1">IFERROR(__xludf.DUMMYFUNCTION("IMPORTRANGE(""https://docs.google.com/spreadsheets/d/1XL5vhW3sbDhbH9Cz0tuDiY8C3ctxq1tqvaCgkFb8cCA/edit?usp=sharing"",""กาฬสินธุ์!J224"")"),0)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IFERROR(__xludf.DUMMYFUNCTION("IMPORTRANGE(""https://docs.google.com/spreadsheets/d/1XL5vhW3sbDhbH9Cz0tuDiY8C3ctxq1tqvaCgkFb8cCA/edit?usp=sharing"",""กาฬสินธุ์!I228"")"),345)</f>
        <v>345</v>
      </c>
      <c r="J328" s="339">
        <f ca="1">IFERROR(__xludf.DUMMYFUNCTION("IMPORTRANGE(""https://docs.google.com/spreadsheets/d/1XL5vhW3sbDhbH9Cz0tuDiY8C3ctxq1tqvaCgkFb8cCA/edit?usp=sharing"",""กาฬสินธุ์!J228"")"),3)</f>
        <v>3</v>
      </c>
      <c r="K328" s="317">
        <f ca="1">IF(I328&gt;0,J328*100/I328,0)</f>
        <v>0.86956521739130432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1108090</v>
      </c>
      <c r="M329" s="152">
        <f t="shared" ca="1" si="98"/>
        <v>618210</v>
      </c>
      <c r="N329" s="152">
        <f t="shared" ca="1" si="98"/>
        <v>545534</v>
      </c>
      <c r="O329" s="151">
        <f t="shared" ref="O329:O331" ca="1" si="99">IF(L329&gt;0,N329*100/L329,0)</f>
        <v>49.231921594816306</v>
      </c>
      <c r="P329" s="151">
        <f t="shared" ref="P329:P331" ca="1" si="100">IF(M329&gt;0,N329*100/M329,0)</f>
        <v>88.244124164927769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1108090</v>
      </c>
      <c r="M331" s="157">
        <f t="shared" ca="1" si="102"/>
        <v>618210</v>
      </c>
      <c r="N331" s="157">
        <f t="shared" ca="1" si="102"/>
        <v>545534</v>
      </c>
      <c r="O331" s="156">
        <f t="shared" ca="1" si="99"/>
        <v>49.231921594816306</v>
      </c>
      <c r="P331" s="156">
        <f t="shared" ca="1" si="100"/>
        <v>88.244124164927769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1070290</v>
      </c>
      <c r="M333" s="169">
        <f ca="1">IFERROR(__xludf.DUMMYFUNCTION("IMPORTRANGE(""https://docs.google.com/spreadsheets/d/1Yj_ptqi66GCucihVvJfMjLAmec39IyEx_6qawtMGysU/edit?usp=sharing"",""สบก!DL38"")"),580410)</f>
        <v>580410</v>
      </c>
      <c r="N333" s="170">
        <f ca="1">IFERROR(__xludf.DUMMYFUNCTION("IMPORTRANGE(""https://docs.google.com/spreadsheets/d/1Yj_ptqi66GCucihVvJfMjLAmec39IyEx_6qawtMGysU/edit?usp=sharing"",""สบก!DM38"")"),507734)</f>
        <v>507734</v>
      </c>
      <c r="O333" s="170">
        <f ca="1">IF(L333&gt;0,N333*100/L333,0)</f>
        <v>47.438918423978549</v>
      </c>
      <c r="P333" s="170">
        <f ca="1">IF(M333&gt;0,N333*100/M333,0)</f>
        <v>87.478506572939821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IFERROR(__xludf.DUMMYFUNCTION("IMPORTRANGE(""https://docs.google.com/spreadsheets/d/1Yj_ptqi66GCucihVvJfMjLAmec39IyEx_6qawtMGysU/edit?usp=sharing"",""สบก!DH38"")"),611400)</f>
        <v>611400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IFERROR(__xludf.DUMMYFUNCTION("IMPORTRANGE(""https://docs.google.com/spreadsheets/d/1Yj_ptqi66GCucihVvJfMjLAmec39IyEx_6qawtMGysU/edit?usp=sharing"",""สบก!DI38"")"),458890)</f>
        <v>458890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IFERROR(__xludf.DUMMYFUNCTION("IMPORTRANGE(""https://docs.google.com/spreadsheets/d/1XL5vhW3sbDhbH9Cz0tuDiY8C3ctxq1tqvaCgkFb8cCA/edit?usp=sharing"",""กาฬสินธุ์!I234"")"),0)</f>
        <v>0</v>
      </c>
      <c r="J339" s="189">
        <f ca="1">IFERROR(__xludf.DUMMYFUNCTION("IMPORTRANGE(""https://docs.google.com/spreadsheets/d/1XL5vhW3sbDhbH9Cz0tuDiY8C3ctxq1tqvaCgkFb8cCA/edit?usp=sharing"",""กาฬสินธุ์!J234"")"),303)</f>
        <v>303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IFERROR(__xludf.DUMMYFUNCTION("IMPORTRANGE(""https://docs.google.com/spreadsheets/d/1XL5vhW3sbDhbH9Cz0tuDiY8C3ctxq1tqvaCgkFb8cCA/edit?usp=sharing"",""กาฬสินธุ์!I235"")"),2740)</f>
        <v>2740</v>
      </c>
      <c r="J340" s="189">
        <f ca="1">IFERROR(__xludf.DUMMYFUNCTION("IMPORTRANGE(""https://docs.google.com/spreadsheets/d/1XL5vhW3sbDhbH9Cz0tuDiY8C3ctxq1tqvaCgkFb8cCA/edit?usp=sharing"",""กาฬสินธุ์!J235"")"),2497.22)</f>
        <v>2497.2199999999998</v>
      </c>
      <c r="K340" s="342">
        <f t="shared" ca="1" si="103"/>
        <v>91.139416058394147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IFERROR(__xludf.DUMMYFUNCTION("IMPORTRANGE(""https://docs.google.com/spreadsheets/d/1XL5vhW3sbDhbH9Cz0tuDiY8C3ctxq1tqvaCgkFb8cCA/edit?usp=sharing"",""กาฬสินธุ์!I236"")"),345)</f>
        <v>345</v>
      </c>
      <c r="J341" s="189">
        <f ca="1">IFERROR(__xludf.DUMMYFUNCTION("IMPORTRANGE(""https://docs.google.com/spreadsheets/d/1XL5vhW3sbDhbH9Cz0tuDiY8C3ctxq1tqvaCgkFb8cCA/edit?usp=sharing"",""กาฬสินธุ์!J236"")"),253)</f>
        <v>253</v>
      </c>
      <c r="K341" s="342">
        <f t="shared" ca="1" si="103"/>
        <v>73.333333333333329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9">
        <f ca="1">IFERROR(__xludf.DUMMYFUNCTION("IMPORTRANGE(""https://docs.google.com/spreadsheets/d/1XL5vhW3sbDhbH9Cz0tuDiY8C3ctxq1tqvaCgkFb8cCA/edit?usp=sharing"",""กาฬสินธุ์!J237"")"),2234.72)</f>
        <v>2234.7199999999998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IFERROR(__xludf.DUMMYFUNCTION("IMPORTRANGE(""https://docs.google.com/spreadsheets/d/1XL5vhW3sbDhbH9Cz0tuDiY8C3ctxq1tqvaCgkFb8cCA/edit?usp=sharing"",""กาฬสินธุ์!I238"")"),345)</f>
        <v>345</v>
      </c>
      <c r="J343" s="189">
        <f ca="1">IFERROR(__xludf.DUMMYFUNCTION("IMPORTRANGE(""https://docs.google.com/spreadsheets/d/1XL5vhW3sbDhbH9Cz0tuDiY8C3ctxq1tqvaCgkFb8cCA/edit?usp=sharing"",""กาฬสินธุ์!J238"")"),0)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9">
        <f ca="1">IFERROR(__xludf.DUMMYFUNCTION("IMPORTRANGE(""https://docs.google.com/spreadsheets/d/1XL5vhW3sbDhbH9Cz0tuDiY8C3ctxq1tqvaCgkFb8cCA/edit?usp=sharing"",""กาฬสินธุ์!J239"")"),0)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IFERROR(__xludf.DUMMYFUNCTION("IMPORTRANGE(""https://docs.google.com/spreadsheets/d/1XL5vhW3sbDhbH9Cz0tuDiY8C3ctxq1tqvaCgkFb8cCA/edit?usp=sharing"",""กาฬสินธุ์!I240"")"),345)</f>
        <v>345</v>
      </c>
      <c r="J345" s="189">
        <f ca="1">IFERROR(__xludf.DUMMYFUNCTION("IMPORTRANGE(""https://docs.google.com/spreadsheets/d/1XL5vhW3sbDhbH9Cz0tuDiY8C3ctxq1tqvaCgkFb8cCA/edit?usp=sharing"",""กาฬสินธุ์!J240"")"),3)</f>
        <v>3</v>
      </c>
      <c r="K345" s="342">
        <f t="shared" ca="1" si="103"/>
        <v>0.86956521739130432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9">
        <f ca="1">IFERROR(__xludf.DUMMYFUNCTION("IMPORTRANGE(""https://docs.google.com/spreadsheets/d/1XL5vhW3sbDhbH9Cz0tuDiY8C3ctxq1tqvaCgkFb8cCA/edit?usp=sharing"",""กาฬสินธุ์!J241"")"),79.22)</f>
        <v>79.22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IFERROR(__xludf.DUMMYFUNCTION("IMPORTRANGE(""https://docs.google.com/spreadsheets/d/1XL5vhW3sbDhbH9Cz0tuDiY8C3ctxq1tqvaCgkFb8cCA/edit?usp=sharing"",""กาฬสินธุ์!L242"")"),2444540)</f>
        <v>2444540</v>
      </c>
      <c r="M347" s="358"/>
      <c r="N347" s="358">
        <f ca="1">IFERROR(__xludf.DUMMYFUNCTION("IMPORTRANGE(""https://docs.google.com/spreadsheets/d/1XL5vhW3sbDhbH9Cz0tuDiY8C3ctxq1tqvaCgkFb8cCA/edit?usp=sharing"",""กาฬสินธุ์!M242"")"),505376)</f>
        <v>505376</v>
      </c>
      <c r="O347" s="358">
        <f ca="1">+IF(L347&gt;0,N347*100/L347,0)</f>
        <v>20.673664574930253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IFERROR(__xludf.DUMMYFUNCTION("IMPORTRANGE(""https://docs.google.com/spreadsheets/d/1XL5vhW3sbDhbH9Cz0tuDiY8C3ctxq1tqvaCgkFb8cCA/edit?usp=sharing"",""กาฬสินธุ์!M244"")"),92545)</f>
        <v>92545</v>
      </c>
      <c r="O349" s="373">
        <f ca="1">+IF(L349&gt;0,N349*100/L349,0)</f>
        <v>16.053462392450736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IFERROR(__xludf.DUMMYFUNCTION("IMPORTRANGE(""https://docs.google.com/spreadsheets/d/1XL5vhW3sbDhbH9Cz0tuDiY8C3ctxq1tqvaCgkFb8cCA/edit?usp=sharing"",""กาฬสินธุ์!L246"")"),0)</f>
        <v>0</v>
      </c>
      <c r="M351" s="166"/>
      <c r="N351" s="166">
        <f ca="1">IFERROR(__xludf.DUMMYFUNCTION("IMPORTRANGE(""https://docs.google.com/spreadsheets/d/1XL5vhW3sbDhbH9Cz0tuDiY8C3ctxq1tqvaCgkFb8cCA/edit?usp=sharing"",""กาฬสินธุ์!M246"")"),0)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IFERROR(__xludf.DUMMYFUNCTION("IMPORTRANGE(""https://docs.google.com/spreadsheets/d/1XL5vhW3sbDhbH9Cz0tuDiY8C3ctxq1tqvaCgkFb8cCA/edit?usp=sharing"",""กาฬสินธุ์!L247"")"),576480)</f>
        <v>576480</v>
      </c>
      <c r="M352" s="167"/>
      <c r="N352" s="166">
        <f ca="1">IFERROR(__xludf.DUMMYFUNCTION("IMPORTRANGE(""https://docs.google.com/spreadsheets/d/1XL5vhW3sbDhbH9Cz0tuDiY8C3ctxq1tqvaCgkFb8cCA/edit?usp=sharing"",""กาฬสินธุ์!M247"")"),92545)</f>
        <v>92545</v>
      </c>
      <c r="O352" s="167">
        <f t="shared" ca="1" si="105"/>
        <v>16.053462392450736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IFERROR(__xludf.DUMMYFUNCTION("IMPORTRANGE(""https://docs.google.com/spreadsheets/d/1XL5vhW3sbDhbH9Cz0tuDiY8C3ctxq1tqvaCgkFb8cCA/edit?usp=sharing"",""กาฬสินธุ์!L248"")"),0)</f>
        <v>0</v>
      </c>
      <c r="M353" s="170"/>
      <c r="N353" s="170">
        <f ca="1">IFERROR(__xludf.DUMMYFUNCTION("IMPORTRANGE(""https://docs.google.com/spreadsheets/d/1XL5vhW3sbDhbH9Cz0tuDiY8C3ctxq1tqvaCgkFb8cCA/edit?usp=sharing"",""กาฬสินธุ์!M248"")"),0)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IFERROR(__xludf.DUMMYFUNCTION("IMPORTRANGE(""https://docs.google.com/spreadsheets/d/1XL5vhW3sbDhbH9Cz0tuDiY8C3ctxq1tqvaCgkFb8cCA/edit?usp=sharing"",""กาฬสินธุ์!L249"")"),576480)</f>
        <v>576480</v>
      </c>
      <c r="M354" s="170"/>
      <c r="N354" s="169">
        <f ca="1">IFERROR(__xludf.DUMMYFUNCTION("IMPORTRANGE(""https://docs.google.com/spreadsheets/d/1XL5vhW3sbDhbH9Cz0tuDiY8C3ctxq1tqvaCgkFb8cCA/edit?usp=sharing"",""กาฬสินธุ์!M249"")"),92545)</f>
        <v>92545</v>
      </c>
      <c r="O354" s="170">
        <f t="shared" ca="1" si="105"/>
        <v>16.053462392450736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IFERROR(__xludf.DUMMYFUNCTION("IMPORTRANGE(""https://docs.google.com/spreadsheets/d/1XL5vhW3sbDhbH9Cz0tuDiY8C3ctxq1tqvaCgkFb8cCA/edit?usp=sharing"",""กาฬสินธุ์!M250"")"),60610)</f>
        <v>60610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IFERROR(__xludf.DUMMYFUNCTION("IMPORTRANGE(""https://docs.google.com/spreadsheets/d/1XL5vhW3sbDhbH9Cz0tuDiY8C3ctxq1tqvaCgkFb8cCA/edit?usp=sharing"",""กาฬสินธุ์!M252"")"),31935)</f>
        <v>31935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IFERROR(__xludf.DUMMYFUNCTION("IMPORTRANGE(""https://docs.google.com/spreadsheets/d/1XL5vhW3sbDhbH9Cz0tuDiY8C3ctxq1tqvaCgkFb8cCA/edit?usp=sharing"",""กาฬสินธุ์!M253"")"),0)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IFERROR(__xludf.DUMMYFUNCTION("IMPORTRANGE(""https://docs.google.com/spreadsheets/d/1XL5vhW3sbDhbH9Cz0tuDiY8C3ctxq1tqvaCgkFb8cCA/edit?usp=sharing"",""กาฬสินธุ์!J255"")"),0)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IFERROR(__xludf.DUMMYFUNCTION("IMPORTRANGE(""https://docs.google.com/spreadsheets/d/1XL5vhW3sbDhbH9Cz0tuDiY8C3ctxq1tqvaCgkFb8cCA/edit?usp=sharing"",""กาฬสินธุ์!J256"")"),1)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IFERROR(__xludf.DUMMYFUNCTION("IMPORTRANGE(""https://docs.google.com/spreadsheets/d/1XL5vhW3sbDhbH9Cz0tuDiY8C3ctxq1tqvaCgkFb8cCA/edit?usp=sharing"",""กาฬสินธุ์!J257"")"),1)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IFERROR(__xludf.DUMMYFUNCTION("IMPORTRANGE(""https://docs.google.com/spreadsheets/d/1XL5vhW3sbDhbH9Cz0tuDiY8C3ctxq1tqvaCgkFb8cCA/edit?usp=sharing"",""กาฬสินธุ์!J258"")"),0)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IFERROR(__xludf.DUMMYFUNCTION("IMPORTRANGE(""https://docs.google.com/spreadsheets/d/1XL5vhW3sbDhbH9Cz0tuDiY8C3ctxq1tqvaCgkFb8cCA/edit?usp=sharing"",""กาฬสินธุ์!J166"")"),0)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IFERROR(__xludf.DUMMYFUNCTION("IMPORTRANGE(""https://docs.google.com/spreadsheets/d/1XL5vhW3sbDhbH9Cz0tuDiY8C3ctxq1tqvaCgkFb8cCA/edit?usp=sharing"",""กาฬสินธุ์!J166"")"),0)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IFERROR(__xludf.DUMMYFUNCTION("IMPORTRANGE(""https://docs.google.com/spreadsheets/d/1XL5vhW3sbDhbH9Cz0tuDiY8C3ctxq1tqvaCgkFb8cCA/edit?usp=sharing"",""กาฬสินธุ์!J166"")"),0)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IFERROR(__xludf.DUMMYFUNCTION("IMPORTRANGE(""https://docs.google.com/spreadsheets/d/1XL5vhW3sbDhbH9Cz0tuDiY8C3ctxq1tqvaCgkFb8cCA/edit?usp=sharing"",""กาฬสินธุ์!J166"")"),0)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IFERROR(__xludf.DUMMYFUNCTION("IMPORTRANGE(""https://docs.google.com/spreadsheets/d/1XL5vhW3sbDhbH9Cz0tuDiY8C3ctxq1tqvaCgkFb8cCA/edit?usp=sharing"",""กาฬสินธุ์!I263"")"),60)</f>
        <v>60</v>
      </c>
      <c r="J368" s="189">
        <f ca="1">IFERROR(__xludf.DUMMYFUNCTION("IMPORTRANGE(""https://docs.google.com/spreadsheets/d/1XL5vhW3sbDhbH9Cz0tuDiY8C3ctxq1tqvaCgkFb8cCA/edit?usp=sharing"",""กาฬสินธุ์!J263"")"),0)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IFERROR(__xludf.DUMMYFUNCTION("IMPORTRANGE(""https://docs.google.com/spreadsheets/d/1XL5vhW3sbDhbH9Cz0tuDiY8C3ctxq1tqvaCgkFb8cCA/edit?usp=sharing"",""กาฬสินธุ์!I164"")"),0)</f>
        <v>0</v>
      </c>
      <c r="J369" s="205">
        <f ca="1">IFERROR(__xludf.DUMMYFUNCTION("IMPORTRANGE(""https://docs.google.com/spreadsheets/d/1XL5vhW3sbDhbH9Cz0tuDiY8C3ctxq1tqvaCgkFb8cCA/edit?usp=sharing"",""กาฬสินธุ์!J164"")"),0)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IFERROR(__xludf.DUMMYFUNCTION("IMPORTRANGE(""https://docs.google.com/spreadsheets/d/1XL5vhW3sbDhbH9Cz0tuDiY8C3ctxq1tqvaCgkFb8cCA/edit?usp=sharing"",""กาฬสินธุ์!I265"")"),60)</f>
        <v>60</v>
      </c>
      <c r="J370" s="205">
        <f ca="1">IFERROR(__xludf.DUMMYFUNCTION("IMPORTRANGE(""https://docs.google.com/spreadsheets/d/1XL5vhW3sbDhbH9Cz0tuDiY8C3ctxq1tqvaCgkFb8cCA/edit?usp=sharing"",""กาฬสินธุ์!J265"")"),0)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IFERROR(__xludf.DUMMYFUNCTION("IMPORTRANGE(""https://docs.google.com/spreadsheets/d/1XL5vhW3sbDhbH9Cz0tuDiY8C3ctxq1tqvaCgkFb8cCA/edit?usp=sharing"",""กาฬสินธุ์!I164"")"),0)</f>
        <v>0</v>
      </c>
      <c r="J371" s="190">
        <f ca="1">IFERROR(__xludf.DUMMYFUNCTION("IMPORTRANGE(""https://docs.google.com/spreadsheets/d/1XL5vhW3sbDhbH9Cz0tuDiY8C3ctxq1tqvaCgkFb8cCA/edit?usp=sharing"",""กาฬสินธุ์!J164"")"),0)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IFERROR(__xludf.DUMMYFUNCTION("IMPORTRANGE(""https://docs.google.com/spreadsheets/d/1XL5vhW3sbDhbH9Cz0tuDiY8C3ctxq1tqvaCgkFb8cCA/edit?usp=sharing"",""กาฬสินธุ์!I267"")"),60)</f>
        <v>60</v>
      </c>
      <c r="J372" s="190">
        <f ca="1">IFERROR(__xludf.DUMMYFUNCTION("IMPORTRANGE(""https://docs.google.com/spreadsheets/d/1XL5vhW3sbDhbH9Cz0tuDiY8C3ctxq1tqvaCgkFb8cCA/edit?usp=sharing"",""กาฬสินธุ์!J267"")"),0)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IFERROR(__xludf.DUMMYFUNCTION("IMPORTRANGE(""https://docs.google.com/spreadsheets/d/1XL5vhW3sbDhbH9Cz0tuDiY8C3ctxq1tqvaCgkFb8cCA/edit?usp=sharing"",""กาฬสินธุ์!I164"")"),0)</f>
        <v>0</v>
      </c>
      <c r="J373" s="205">
        <f ca="1">IFERROR(__xludf.DUMMYFUNCTION("IMPORTRANGE(""https://docs.google.com/spreadsheets/d/1XL5vhW3sbDhbH9Cz0tuDiY8C3ctxq1tqvaCgkFb8cCA/edit?usp=sharing"",""กาฬสินธุ์!J164"")"),0)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IFERROR(__xludf.DUMMYFUNCTION("IMPORTRANGE(""https://docs.google.com/spreadsheets/d/1XL5vhW3sbDhbH9Cz0tuDiY8C3ctxq1tqvaCgkFb8cCA/edit?usp=sharing"",""กาฬสินธุ์!I164"")"),0)</f>
        <v>0</v>
      </c>
      <c r="J374" s="189">
        <f ca="1">IFERROR(__xludf.DUMMYFUNCTION("IMPORTRANGE(""https://docs.google.com/spreadsheets/d/1XL5vhW3sbDhbH9Cz0tuDiY8C3ctxq1tqvaCgkFb8cCA/edit?usp=sharing"",""กาฬสินธุ์!J164"")"),0)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IFERROR(__xludf.DUMMYFUNCTION("IMPORTRANGE(""https://docs.google.com/spreadsheets/d/1XL5vhW3sbDhbH9Cz0tuDiY8C3ctxq1tqvaCgkFb8cCA/edit?usp=sharing"",""กาฬสินธุ์!I270"")"),300)</f>
        <v>300</v>
      </c>
      <c r="J375" s="189">
        <f ca="1">IFERROR(__xludf.DUMMYFUNCTION("IMPORTRANGE(""https://docs.google.com/spreadsheets/d/1XL5vhW3sbDhbH9Cz0tuDiY8C3ctxq1tqvaCgkFb8cCA/edit?usp=sharing"",""กาฬสินธุ์!J270"")"),0)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IFERROR(__xludf.DUMMYFUNCTION("IMPORTRANGE(""https://docs.google.com/spreadsheets/d/1XL5vhW3sbDhbH9Cz0tuDiY8C3ctxq1tqvaCgkFb8cCA/edit?usp=sharing"",""กาฬสินธุ์!I271"")"),300)</f>
        <v>300</v>
      </c>
      <c r="J376" s="190">
        <f ca="1">IFERROR(__xludf.DUMMYFUNCTION("IMPORTRANGE(""https://docs.google.com/spreadsheets/d/1XL5vhW3sbDhbH9Cz0tuDiY8C3ctxq1tqvaCgkFb8cCA/edit?usp=sharing"",""กาฬสินธุ์!J271"")"),0)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IFERROR(__xludf.DUMMYFUNCTION("IMPORTRANGE(""https://docs.google.com/spreadsheets/d/1XL5vhW3sbDhbH9Cz0tuDiY8C3ctxq1tqvaCgkFb8cCA/edit?usp=sharing"",""กาฬสินธุ์!I272"")"),0)</f>
        <v>0</v>
      </c>
      <c r="J377" s="205">
        <f ca="1">IFERROR(__xludf.DUMMYFUNCTION("IMPORTRANGE(""https://docs.google.com/spreadsheets/d/1XL5vhW3sbDhbH9Cz0tuDiY8C3ctxq1tqvaCgkFb8cCA/edit?usp=sharing"",""กาฬสินธุ์!J272"")"),0)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IFERROR(__xludf.DUMMYFUNCTION("IMPORTRANGE(""https://docs.google.com/spreadsheets/d/1XL5vhW3sbDhbH9Cz0tuDiY8C3ctxq1tqvaCgkFb8cCA/edit?usp=sharing"",""กาฬสินธุ์!J273"")"),0)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IFERROR(__xludf.DUMMYFUNCTION("IMPORTRANGE(""https://docs.google.com/spreadsheets/d/1XL5vhW3sbDhbH9Cz0tuDiY8C3ctxq1tqvaCgkFb8cCA/edit?usp=sharing"",""กาฬสินธุ์!M275"")"),166102)</f>
        <v>166102</v>
      </c>
      <c r="O380" s="373">
        <f ca="1">+IF(L380&gt;0,N380*100/L380,0)</f>
        <v>16.149613036207366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IFERROR(__xludf.DUMMYFUNCTION("IMPORTRANGE(""https://docs.google.com/spreadsheets/d/1XL5vhW3sbDhbH9Cz0tuDiY8C3ctxq1tqvaCgkFb8cCA/edit?usp=sharing"",""กาฬสินธุ์!L277"")"),0)</f>
        <v>0</v>
      </c>
      <c r="M382" s="166"/>
      <c r="N382" s="166">
        <f ca="1">IFERROR(__xludf.DUMMYFUNCTION("IMPORTRANGE(""https://docs.google.com/spreadsheets/d/1XL5vhW3sbDhbH9Cz0tuDiY8C3ctxq1tqvaCgkFb8cCA/edit?usp=sharing"",""กาฬสินธุ์!M277"")"),0)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IFERROR(__xludf.DUMMYFUNCTION("IMPORTRANGE(""https://docs.google.com/spreadsheets/d/1XL5vhW3sbDhbH9Cz0tuDiY8C3ctxq1tqvaCgkFb8cCA/edit?usp=sharing"",""กาฬสินธุ์!L278"")"),1028520)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IFERROR(__xludf.DUMMYFUNCTION("IMPORTRANGE(""https://docs.google.com/spreadsheets/d/1XL5vhW3sbDhbH9Cz0tuDiY8C3ctxq1tqvaCgkFb8cCA/edit?usp=sharing"",""กาฬสินธุ์!M278"")"),166102)</f>
        <v>166102</v>
      </c>
      <c r="O383" s="167">
        <f t="shared" ca="1" si="109"/>
        <v>16.149613036207366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IFERROR(__xludf.DUMMYFUNCTION("IMPORTRANGE(""https://docs.google.com/spreadsheets/d/1XL5vhW3sbDhbH9Cz0tuDiY8C3ctxq1tqvaCgkFb8cCA/edit?usp=sharing"",""กาฬสินธุ์!L279"")"),0)</f>
        <v>0</v>
      </c>
      <c r="M384" s="170"/>
      <c r="N384" s="170">
        <f ca="1">IFERROR(__xludf.DUMMYFUNCTION("IMPORTRANGE(""https://docs.google.com/spreadsheets/d/1XL5vhW3sbDhbH9Cz0tuDiY8C3ctxq1tqvaCgkFb8cCA/edit?usp=sharing"",""กาฬสินธุ์!M279"")"),0)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IFERROR(__xludf.DUMMYFUNCTION("IMPORTRANGE(""https://docs.google.com/spreadsheets/d/1XL5vhW3sbDhbH9Cz0tuDiY8C3ctxq1tqvaCgkFb8cCA/edit?usp=sharing"",""กาฬสินธุ์!L280"")"),1028520)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IFERROR(__xludf.DUMMYFUNCTION("IMPORTRANGE(""https://docs.google.com/spreadsheets/d/1XL5vhW3sbDhbH9Cz0tuDiY8C3ctxq1tqvaCgkFb8cCA/edit?usp=sharing"",""กาฬสินธุ์!M280"")"),166102)</f>
        <v>166102</v>
      </c>
      <c r="O385" s="170">
        <f t="shared" ca="1" si="109"/>
        <v>16.149613036207366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IFERROR(__xludf.DUMMYFUNCTION("IMPORTRANGE(""https://docs.google.com/spreadsheets/d/1XL5vhW3sbDhbH9Cz0tuDiY8C3ctxq1tqvaCgkFb8cCA/edit?usp=sharing"",""กาฬสินธุ์!M281"")"),135325)</f>
        <v>135325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IFERROR(__xludf.DUMMYFUNCTION("IMPORTRANGE(""https://docs.google.com/spreadsheets/d/1XL5vhW3sbDhbH9Cz0tuDiY8C3ctxq1tqvaCgkFb8cCA/edit?usp=sharing"",""กาฬสินธุ์!M283"")"),27677)</f>
        <v>27677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IFERROR(__xludf.DUMMYFUNCTION("IMPORTRANGE(""https://docs.google.com/spreadsheets/d/1XL5vhW3sbDhbH9Cz0tuDiY8C3ctxq1tqvaCgkFb8cCA/edit?usp=sharing"",""กาฬสินธุ์!M284"")"),3100)</f>
        <v>3100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IFERROR(__xludf.DUMMYFUNCTION("IMPORTRANGE(""https://docs.google.com/spreadsheets/d/1XL5vhW3sbDhbH9Cz0tuDiY8C3ctxq1tqvaCgkFb8cCA/edit?usp=sharing"",""กาฬสินธุ์!J286"")"),0)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IFERROR(__xludf.DUMMYFUNCTION("IMPORTRANGE(""https://docs.google.com/spreadsheets/d/1XL5vhW3sbDhbH9Cz0tuDiY8C3ctxq1tqvaCgkFb8cCA/edit?usp=sharing"",""กาฬสินธุ์!J287"")"),1)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IFERROR(__xludf.DUMMYFUNCTION("IMPORTRANGE(""https://docs.google.com/spreadsheets/d/1XL5vhW3sbDhbH9Cz0tuDiY8C3ctxq1tqvaCgkFb8cCA/edit?usp=sharing"",""กาฬสินธุ์!J288"")"),1)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IFERROR(__xludf.DUMMYFUNCTION("IMPORTRANGE(""https://docs.google.com/spreadsheets/d/1XL5vhW3sbDhbH9Cz0tuDiY8C3ctxq1tqvaCgkFb8cCA/edit?usp=sharing"",""กาฬสินธุ์!J289"")"),0)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IFERROR(__xludf.DUMMYFUNCTION("IMPORTRANGE(""https://docs.google.com/spreadsheets/d/1XL5vhW3sbDhbH9Cz0tuDiY8C3ctxq1tqvaCgkFb8cCA/edit?usp=sharing"",""กาฬสินธุ์!I291"")"),100)</f>
        <v>100</v>
      </c>
      <c r="J396" s="199">
        <f ca="1">IFERROR(__xludf.DUMMYFUNCTION("IMPORTRANGE(""https://docs.google.com/spreadsheets/d/1XL5vhW3sbDhbH9Cz0tuDiY8C3ctxq1tqvaCgkFb8cCA/edit?usp=sharing"",""กาฬสินธุ์!J291"")"),0)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IFERROR(__xludf.DUMMYFUNCTION("IMPORTRANGE(""https://docs.google.com/spreadsheets/d/1XL5vhW3sbDhbH9Cz0tuDiY8C3ctxq1tqvaCgkFb8cCA/edit?usp=sharing"",""กาฬสินธุ์!I292"")"),1000)</f>
        <v>1000</v>
      </c>
      <c r="J397" s="199">
        <f ca="1">IFERROR(__xludf.DUMMYFUNCTION("IMPORTRANGE(""https://docs.google.com/spreadsheets/d/1XL5vhW3sbDhbH9Cz0tuDiY8C3ctxq1tqvaCgkFb8cCA/edit?usp=sharing"",""กาฬสินธุ์!J292"")"),0)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IFERROR(__xludf.DUMMYFUNCTION("IMPORTRANGE(""https://docs.google.com/spreadsheets/d/1XL5vhW3sbDhbH9Cz0tuDiY8C3ctxq1tqvaCgkFb8cCA/edit?usp=sharing"",""กาฬสินธุ์!I293"")"),100)</f>
        <v>100</v>
      </c>
      <c r="J398" s="199">
        <f ca="1">IFERROR(__xludf.DUMMYFUNCTION("IMPORTRANGE(""https://docs.google.com/spreadsheets/d/1XL5vhW3sbDhbH9Cz0tuDiY8C3ctxq1tqvaCgkFb8cCA/edit?usp=sharing"",""กาฬสินธุ์!J293"")"),0)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IFERROR(__xludf.DUMMYFUNCTION("IMPORTRANGE(""https://docs.google.com/spreadsheets/d/1XL5vhW3sbDhbH9Cz0tuDiY8C3ctxq1tqvaCgkFb8cCA/edit?usp=sharing"",""กาฬสินธุ์!J294"")"),0)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IFERROR(__xludf.DUMMYFUNCTION("IMPORTRANGE(""https://docs.google.com/spreadsheets/d/1XL5vhW3sbDhbH9Cz0tuDiY8C3ctxq1tqvaCgkFb8cCA/edit?usp=sharing"",""กาฬสินธุ์!M296"")"),74320)</f>
        <v>74320</v>
      </c>
      <c r="O401" s="373">
        <f ca="1">+IF(L401&gt;0,N401*100/L401,0)</f>
        <v>56.426998709285549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IFERROR(__xludf.DUMMYFUNCTION("IMPORTRANGE(""https://docs.google.com/spreadsheets/d/1XL5vhW3sbDhbH9Cz0tuDiY8C3ctxq1tqvaCgkFb8cCA/edit?usp=sharing"",""กาฬสินธุ์!L298"")"),0)</f>
        <v>0</v>
      </c>
      <c r="M403" s="166"/>
      <c r="N403" s="170">
        <f ca="1">IFERROR(__xludf.DUMMYFUNCTION("IMPORTRANGE(""https://docs.google.com/spreadsheets/d/1XL5vhW3sbDhbH9Cz0tuDiY8C3ctxq1tqvaCgkFb8cCA/edit?usp=sharing"",""กาฬสินธุ์!M298"")"),0)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IFERROR(__xludf.DUMMYFUNCTION("IMPORTRANGE(""https://docs.google.com/spreadsheets/d/1XL5vhW3sbDhbH9Cz0tuDiY8C3ctxq1tqvaCgkFb8cCA/edit?usp=sharing"",""กาฬสินธุ์!L299"")"),131710)</f>
        <v>131710</v>
      </c>
      <c r="M404" s="167"/>
      <c r="N404" s="170">
        <f ca="1">IFERROR(__xludf.DUMMYFUNCTION("IMPORTRANGE(""https://docs.google.com/spreadsheets/d/1XL5vhW3sbDhbH9Cz0tuDiY8C3ctxq1tqvaCgkFb8cCA/edit?usp=sharing"",""กาฬสินธุ์!M299"")"),74320)</f>
        <v>74320</v>
      </c>
      <c r="O404" s="170">
        <f t="shared" ca="1" si="112"/>
        <v>56.426998709285549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IFERROR(__xludf.DUMMYFUNCTION("IMPORTRANGE(""https://docs.google.com/spreadsheets/d/1XL5vhW3sbDhbH9Cz0tuDiY8C3ctxq1tqvaCgkFb8cCA/edit?usp=sharing"",""กาฬสินธุ์!L300"")"),0)</f>
        <v>0</v>
      </c>
      <c r="M405" s="170"/>
      <c r="N405" s="170">
        <f ca="1">IFERROR(__xludf.DUMMYFUNCTION("IMPORTRANGE(""https://docs.google.com/spreadsheets/d/1XL5vhW3sbDhbH9Cz0tuDiY8C3ctxq1tqvaCgkFb8cCA/edit?usp=sharing"",""กาฬสินธุ์!M300"")"),0)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IFERROR(__xludf.DUMMYFUNCTION("IMPORTRANGE(""https://docs.google.com/spreadsheets/d/1XL5vhW3sbDhbH9Cz0tuDiY8C3ctxq1tqvaCgkFb8cCA/edit?usp=sharing"",""กาฬสินธุ์!L301"")"),131710)</f>
        <v>131710</v>
      </c>
      <c r="M406" s="170"/>
      <c r="N406" s="170">
        <f ca="1">IFERROR(__xludf.DUMMYFUNCTION("IMPORTRANGE(""https://docs.google.com/spreadsheets/d/1XL5vhW3sbDhbH9Cz0tuDiY8C3ctxq1tqvaCgkFb8cCA/edit?usp=sharing"",""กาฬสินธุ์!M301"")"),74320)</f>
        <v>74320</v>
      </c>
      <c r="O406" s="170">
        <f t="shared" ca="1" si="112"/>
        <v>56.426998709285549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IFERROR(__xludf.DUMMYFUNCTION("IMPORTRANGE(""https://docs.google.com/spreadsheets/d/1XL5vhW3sbDhbH9Cz0tuDiY8C3ctxq1tqvaCgkFb8cCA/edit?usp=sharing"",""กาฬสินธุ์!M302"")"),38820)</f>
        <v>38820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IFERROR(__xludf.DUMMYFUNCTION("IMPORTRANGE(""https://docs.google.com/spreadsheets/d/1XL5vhW3sbDhbH9Cz0tuDiY8C3ctxq1tqvaCgkFb8cCA/edit?usp=sharing"",""กาฬสินธุ์!M305"")"),10000)</f>
        <v>10000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IFERROR(__xludf.DUMMYFUNCTION("IMPORTRANGE(""https://docs.google.com/spreadsheets/d/1XL5vhW3sbDhbH9Cz0tuDiY8C3ctxq1tqvaCgkFb8cCA/edit?usp=sharing"",""กาฬสินธุ์!J307"")"),0)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IFERROR(__xludf.DUMMYFUNCTION("IMPORTRANGE(""https://docs.google.com/spreadsheets/d/1XL5vhW3sbDhbH9Cz0tuDiY8C3ctxq1tqvaCgkFb8cCA/edit?usp=sharing"",""กาฬสินธุ์!J308"")"),1)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IFERROR(__xludf.DUMMYFUNCTION("IMPORTRANGE(""https://docs.google.com/spreadsheets/d/1XL5vhW3sbDhbH9Cz0tuDiY8C3ctxq1tqvaCgkFb8cCA/edit?usp=sharing"",""กาฬสินธุ์!J309"")"),1)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IFERROR(__xludf.DUMMYFUNCTION("IMPORTRANGE(""https://docs.google.com/spreadsheets/d/1XL5vhW3sbDhbH9Cz0tuDiY8C3ctxq1tqvaCgkFb8cCA/edit?usp=sharing"",""กาฬสินธุ์!J310"")"),1)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IFERROR(__xludf.DUMMYFUNCTION("IMPORTRANGE(""https://docs.google.com/spreadsheets/d/1XL5vhW3sbDhbH9Cz0tuDiY8C3ctxq1tqvaCgkFb8cCA/edit?usp=sharing"",""กาฬสินธุ์!I311"")"),35)</f>
        <v>35</v>
      </c>
      <c r="J416" s="202">
        <f ca="1">IFERROR(__xludf.DUMMYFUNCTION("IMPORTRANGE(""https://docs.google.com/spreadsheets/d/1XL5vhW3sbDhbH9Cz0tuDiY8C3ctxq1tqvaCgkFb8cCA/edit?usp=sharing"",""กาฬสินธุ์!J311"")"),35)</f>
        <v>35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IFERROR(__xludf.DUMMYFUNCTION("IMPORTRANGE(""https://docs.google.com/spreadsheets/d/1XL5vhW3sbDhbH9Cz0tuDiY8C3ctxq1tqvaCgkFb8cCA/edit?usp=sharing"",""กาฬสินธุ์!J328"")"),0)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IFERROR(__xludf.DUMMYFUNCTION("IMPORTRANGE(""https://docs.google.com/spreadsheets/d/1XL5vhW3sbDhbH9Cz0tuDiY8C3ctxq1tqvaCgkFb8cCA/edit?usp=sharing"",""กาฬสินธุ์!J329"")"),0)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IFERROR(__xludf.DUMMYFUNCTION("IMPORTRANGE(""https://docs.google.com/spreadsheets/d/1XL5vhW3sbDhbH9Cz0tuDiY8C3ctxq1tqvaCgkFb8cCA/edit?usp=sharing"",""กาฬสินธุ์!J330"")"),25)</f>
        <v>25</v>
      </c>
      <c r="K435" s="411">
        <f ca="1">IF(I435&gt;0,J435*100/I435,0)</f>
        <v>55.555555555555557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IFERROR(__xludf.DUMMYFUNCTION("IMPORTRANGE(""https://docs.google.com/spreadsheets/d/1XL5vhW3sbDhbH9Cz0tuDiY8C3ctxq1tqvaCgkFb8cCA/edit?usp=sharing"",""กาฬสินธุ์!M330"")"),68490)</f>
        <v>68490</v>
      </c>
      <c r="O435" s="412">
        <f t="shared" ref="O435:O439" ca="1" si="114">+IF(L435&gt;0,N435*100/L435,0)</f>
        <v>40.767857142857146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IFERROR(__xludf.DUMMYFUNCTION("IMPORTRANGE(""https://docs.google.com/spreadsheets/d/1XL5vhW3sbDhbH9Cz0tuDiY8C3ctxq1tqvaCgkFb8cCA/edit?usp=sharing"",""กาฬสินธุ์!L331"")"),0)</f>
        <v>0</v>
      </c>
      <c r="M436" s="166"/>
      <c r="N436" s="170">
        <f ca="1">IFERROR(__xludf.DUMMYFUNCTION("IMPORTRANGE(""https://docs.google.com/spreadsheets/d/1XL5vhW3sbDhbH9Cz0tuDiY8C3ctxq1tqvaCgkFb8cCA/edit?usp=sharing"",""กาฬสินธุ์!M331"")"),0)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IFERROR(__xludf.DUMMYFUNCTION("IMPORTRANGE(""https://docs.google.com/spreadsheets/d/1XL5vhW3sbDhbH9Cz0tuDiY8C3ctxq1tqvaCgkFb8cCA/edit?usp=sharing"",""กาฬสินธุ์!L332"")"),168000)</f>
        <v>168000</v>
      </c>
      <c r="M437" s="167"/>
      <c r="N437" s="170">
        <f ca="1">IFERROR(__xludf.DUMMYFUNCTION("IMPORTRANGE(""https://docs.google.com/spreadsheets/d/1XL5vhW3sbDhbH9Cz0tuDiY8C3ctxq1tqvaCgkFb8cCA/edit?usp=sharing"",""กาฬสินธุ์!M332"")"),68490)</f>
        <v>68490</v>
      </c>
      <c r="O437" s="170">
        <f t="shared" ca="1" si="114"/>
        <v>40.767857142857146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IFERROR(__xludf.DUMMYFUNCTION("IMPORTRANGE(""https://docs.google.com/spreadsheets/d/1XL5vhW3sbDhbH9Cz0tuDiY8C3ctxq1tqvaCgkFb8cCA/edit?usp=sharing"",""กาฬสินธุ์!L333"")"),0)</f>
        <v>0</v>
      </c>
      <c r="M438" s="170"/>
      <c r="N438" s="170">
        <f ca="1">IFERROR(__xludf.DUMMYFUNCTION("IMPORTRANGE(""https://docs.google.com/spreadsheets/d/1XL5vhW3sbDhbH9Cz0tuDiY8C3ctxq1tqvaCgkFb8cCA/edit?usp=sharing"",""กาฬสินธุ์!M333"")"),0)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IFERROR(__xludf.DUMMYFUNCTION("IMPORTRANGE(""https://docs.google.com/spreadsheets/d/1XL5vhW3sbDhbH9Cz0tuDiY8C3ctxq1tqvaCgkFb8cCA/edit?usp=sharing"",""กาฬสินธุ์!L334"")"),168000)</f>
        <v>168000</v>
      </c>
      <c r="M439" s="170"/>
      <c r="N439" s="170">
        <f ca="1">IFERROR(__xludf.DUMMYFUNCTION("IMPORTRANGE(""https://docs.google.com/spreadsheets/d/1XL5vhW3sbDhbH9Cz0tuDiY8C3ctxq1tqvaCgkFb8cCA/edit?usp=sharing"",""กาฬสินธุ์!M334"")"),68490)</f>
        <v>68490</v>
      </c>
      <c r="O439" s="170">
        <f t="shared" ca="1" si="114"/>
        <v>40.767857142857146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IFERROR(__xludf.DUMMYFUNCTION("IMPORTRANGE(""https://docs.google.com/spreadsheets/d/1XL5vhW3sbDhbH9Cz0tuDiY8C3ctxq1tqvaCgkFb8cCA/edit?usp=sharing"",""กาฬสินธุ์!M335"")"),39460)</f>
        <v>39460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IFERROR(__xludf.DUMMYFUNCTION("IMPORTRANGE(""https://docs.google.com/spreadsheets/d/1XL5vhW3sbDhbH9Cz0tuDiY8C3ctxq1tqvaCgkFb8cCA/edit?usp=sharing"",""กาฬสินธุ์!M338"")"),29030)</f>
        <v>29030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IFERROR(__xludf.DUMMYFUNCTION("IMPORTRANGE(""https://docs.google.com/spreadsheets/d/1XL5vhW3sbDhbH9Cz0tuDiY8C3ctxq1tqvaCgkFb8cCA/edit?usp=sharing"",""กาฬสินธุ์!J342"")"),1)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IFERROR(__xludf.DUMMYFUNCTION("IMPORTRANGE(""https://docs.google.com/spreadsheets/d/1XL5vhW3sbDhbH9Cz0tuDiY8C3ctxq1tqvaCgkFb8cCA/edit?usp=sharing"",""กาฬสินธุ์!J343"")"),0)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2">
        <f ca="1">IFERROR(__xludf.DUMMYFUNCTION("IMPORTRANGE(""https://docs.google.com/spreadsheets/d/1XL5vhW3sbDhbH9Cz0tuDiY8C3ctxq1tqvaCgkFb8cCA/edit?usp=sharing"",""กาฬสินธุ์!J344"")"),25)</f>
        <v>25</v>
      </c>
      <c r="K449" s="165">
        <f t="shared" ref="K449:K452" ca="1" si="115">IF(I449&gt;0,J449*100/I449,0)</f>
        <v>55.555555555555557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IFERROR(__xludf.DUMMYFUNCTION("IMPORTRANGE(""https://docs.google.com/spreadsheets/d/1XL5vhW3sbDhbH9Cz0tuDiY8C3ctxq1tqvaCgkFb8cCA/edit?usp=sharing"",""กาฬสินธุ์!I345"")"),20)</f>
        <v>20</v>
      </c>
      <c r="J450" s="190">
        <f ca="1">IFERROR(__xludf.DUMMYFUNCTION("IMPORTRANGE(""https://docs.google.com/spreadsheets/d/1XL5vhW3sbDhbH9Cz0tuDiY8C3ctxq1tqvaCgkFb8cCA/edit?usp=sharing"",""กาฬสินธุ์!J345"")"),0)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IFERROR(__xludf.DUMMYFUNCTION("IMPORTRANGE(""https://docs.google.com/spreadsheets/d/1XL5vhW3sbDhbH9Cz0tuDiY8C3ctxq1tqvaCgkFb8cCA/edit?usp=sharing"",""กาฬสินธุ์!I346"")"),25)</f>
        <v>25</v>
      </c>
      <c r="J451" s="189">
        <f ca="1">IFERROR(__xludf.DUMMYFUNCTION("IMPORTRANGE(""https://docs.google.com/spreadsheets/d/1XL5vhW3sbDhbH9Cz0tuDiY8C3ctxq1tqvaCgkFb8cCA/edit?usp=sharing"",""กาฬสินธุ์!J346"")"),25)</f>
        <v>25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IFERROR(__xludf.DUMMYFUNCTION("IMPORTRANGE(""https://docs.google.com/spreadsheets/d/1XL5vhW3sbDhbH9Cz0tuDiY8C3ctxq1tqvaCgkFb8cCA/edit?usp=sharing"",""กาฬสินธุ์!I347"")"),0)</f>
        <v>0</v>
      </c>
      <c r="J452" s="189">
        <f ca="1">IFERROR(__xludf.DUMMYFUNCTION("IMPORTRANGE(""https://docs.google.com/spreadsheets/d/1XL5vhW3sbDhbH9Cz0tuDiY8C3ctxq1tqvaCgkFb8cCA/edit?usp=sharing"",""กาฬสินธุ์!J347"")"),0)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IFERROR(__xludf.DUMMYFUNCTION("IMPORTRANGE(""https://docs.google.com/spreadsheets/d/1XL5vhW3sbDhbH9Cz0tuDiY8C3ctxq1tqvaCgkFb8cCA/edit?usp=sharing"",""กาฬสินธุ์!J348"")"),0)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IFERROR(__xludf.DUMMYFUNCTION("IMPORTRANGE(""https://docs.google.com/spreadsheets/d/1XL5vhW3sbDhbH9Cz0tuDiY8C3ctxq1tqvaCgkFb8cCA/edit?usp=sharing"",""กาฬสินธุ์!L350"")"),211610)</f>
        <v>211610</v>
      </c>
      <c r="M455" s="373"/>
      <c r="N455" s="373">
        <f ca="1">IFERROR(__xludf.DUMMYFUNCTION("IMPORTRANGE(""https://docs.google.com/spreadsheets/d/1XL5vhW3sbDhbH9Cz0tuDiY8C3ctxq1tqvaCgkFb8cCA/edit?usp=sharing"",""กาฬสินธุ์!M350"")"),32335)</f>
        <v>32335</v>
      </c>
      <c r="O455" s="373">
        <f t="shared" ref="O455:O459" ca="1" si="116">+IF(L455&gt;0,N455*100/L455,0)</f>
        <v>15.280468786919332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IFERROR(__xludf.DUMMYFUNCTION("IMPORTRANGE(""https://docs.google.com/spreadsheets/d/1XL5vhW3sbDhbH9Cz0tuDiY8C3ctxq1tqvaCgkFb8cCA/edit?usp=sharing"",""กาฬสินธุ์!L351"")"),0)</f>
        <v>0</v>
      </c>
      <c r="M456" s="166"/>
      <c r="N456" s="170">
        <f ca="1">IFERROR(__xludf.DUMMYFUNCTION("IMPORTRANGE(""https://docs.google.com/spreadsheets/d/1XL5vhW3sbDhbH9Cz0tuDiY8C3ctxq1tqvaCgkFb8cCA/edit?usp=sharing"",""กาฬสินธุ์!M351"")"),0)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IFERROR(__xludf.DUMMYFUNCTION("IMPORTRANGE(""https://docs.google.com/spreadsheets/d/1XL5vhW3sbDhbH9Cz0tuDiY8C3ctxq1tqvaCgkFb8cCA/edit?usp=sharing"",""กาฬสินธุ์!L352"")"),211610)</f>
        <v>211610</v>
      </c>
      <c r="M457" s="167"/>
      <c r="N457" s="170">
        <f ca="1">IFERROR(__xludf.DUMMYFUNCTION("IMPORTRANGE(""https://docs.google.com/spreadsheets/d/1XL5vhW3sbDhbH9Cz0tuDiY8C3ctxq1tqvaCgkFb8cCA/edit?usp=sharing"",""กาฬสินธุ์!M352"")"),32335)</f>
        <v>32335</v>
      </c>
      <c r="O457" s="170">
        <f t="shared" ca="1" si="116"/>
        <v>15.280468786919332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IFERROR(__xludf.DUMMYFUNCTION("IMPORTRANGE(""https://docs.google.com/spreadsheets/d/1XL5vhW3sbDhbH9Cz0tuDiY8C3ctxq1tqvaCgkFb8cCA/edit?usp=sharing"",""กาฬสินธุ์!L353"")"),0)</f>
        <v>0</v>
      </c>
      <c r="M458" s="170"/>
      <c r="N458" s="170">
        <f ca="1">IFERROR(__xludf.DUMMYFUNCTION("IMPORTRANGE(""https://docs.google.com/spreadsheets/d/1XL5vhW3sbDhbH9Cz0tuDiY8C3ctxq1tqvaCgkFb8cCA/edit?usp=sharing"",""กาฬสินธุ์!M353"")"),0)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IFERROR(__xludf.DUMMYFUNCTION("IMPORTRANGE(""https://docs.google.com/spreadsheets/d/1XL5vhW3sbDhbH9Cz0tuDiY8C3ctxq1tqvaCgkFb8cCA/edit?usp=sharing"",""กาฬสินธุ์!L354"")"),211610)</f>
        <v>211610</v>
      </c>
      <c r="M459" s="170"/>
      <c r="N459" s="170">
        <f ca="1">IFERROR(__xludf.DUMMYFUNCTION("IMPORTRANGE(""https://docs.google.com/spreadsheets/d/1XL5vhW3sbDhbH9Cz0tuDiY8C3ctxq1tqvaCgkFb8cCA/edit?usp=sharing"",""กาฬสินธุ์!M354"")"),32335)</f>
        <v>32335</v>
      </c>
      <c r="O459" s="170">
        <f t="shared" ca="1" si="116"/>
        <v>15.280468786919332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IFERROR(__xludf.DUMMYFUNCTION("IMPORTRANGE(""https://docs.google.com/spreadsheets/d/1XL5vhW3sbDhbH9Cz0tuDiY8C3ctxq1tqvaCgkFb8cCA/edit?usp=sharing"",""กาฬสินธุ์!M355"")"),0)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IFERROR(__xludf.DUMMYFUNCTION("IMPORTRANGE(""https://docs.google.com/spreadsheets/d/1XL5vhW3sbDhbH9Cz0tuDiY8C3ctxq1tqvaCgkFb8cCA/edit?usp=sharing"",""กาฬสินธุ์!M356"")"),0)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IFERROR(__xludf.DUMMYFUNCTION("IMPORTRANGE(""https://docs.google.com/spreadsheets/d/1XL5vhW3sbDhbH9Cz0tuDiY8C3ctxq1tqvaCgkFb8cCA/edit?usp=sharing"",""กาฬสินธุ์!M358"")"),32335)</f>
        <v>32335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3">
        <f t="shared" ca="1" si="117"/>
        <v>108.32930322532644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3">
        <f t="shared" ca="1" si="117"/>
        <v>100.031328320802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IFERROR(__xludf.DUMMYFUNCTION("IMPORTRANGE(""https://docs.google.com/spreadsheets/d/1XL5vhW3sbDhbH9Cz0tuDiY8C3ctxq1tqvaCgkFb8cCA/edit?usp=sharing"",""กาฬสินธุ์!I362"")"),0)</f>
        <v>0</v>
      </c>
      <c r="J467" s="190">
        <f ca="1">IFERROR(__xludf.DUMMYFUNCTION("IMPORTRANGE(""https://docs.google.com/spreadsheets/d/1XL5vhW3sbDhbH9Cz0tuDiY8C3ctxq1tqvaCgkFb8cCA/edit?usp=sharing"",""กาฬสินธุ์!J362"")"),25400)</f>
        <v>25400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IFERROR(__xludf.DUMMYFUNCTION("IMPORTRANGE(""https://docs.google.com/spreadsheets/d/1XL5vhW3sbDhbH9Cz0tuDiY8C3ctxq1tqvaCgkFb8cCA/edit?usp=sharing"",""กาฬสินธุ์!I363"")"),0)</f>
        <v>0</v>
      </c>
      <c r="J468" s="190">
        <f ca="1">IFERROR(__xludf.DUMMYFUNCTION("IMPORTRANGE(""https://docs.google.com/spreadsheets/d/1XL5vhW3sbDhbH9Cz0tuDiY8C3ctxq1tqvaCgkFb8cCA/edit?usp=sharing"",""กาฬสินธุ์!J363"")"),2859)</f>
        <v>2859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IFERROR(__xludf.DUMMYFUNCTION("IMPORTRANGE(""https://docs.google.com/spreadsheets/d/1XL5vhW3sbDhbH9Cz0tuDiY8C3ctxq1tqvaCgkFb8cCA/edit?usp=sharing"",""กาฬสินธุ์!I364"")"),0)</f>
        <v>0</v>
      </c>
      <c r="J469" s="190">
        <f ca="1">IFERROR(__xludf.DUMMYFUNCTION("IMPORTRANGE(""https://docs.google.com/spreadsheets/d/1XL5vhW3sbDhbH9Cz0tuDiY8C3ctxq1tqvaCgkFb8cCA/edit?usp=sharing"",""กาฬสินธุ์!J364"")"),2410)</f>
        <v>2410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IFERROR(__xludf.DUMMYFUNCTION("IMPORTRANGE(""https://docs.google.com/spreadsheets/d/1XL5vhW3sbDhbH9Cz0tuDiY8C3ctxq1tqvaCgkFb8cCA/edit?usp=sharing"",""กาฬสินธุ์!I365"")"),0)</f>
        <v>0</v>
      </c>
      <c r="J470" s="190">
        <f ca="1">IFERROR(__xludf.DUMMYFUNCTION("IMPORTRANGE(""https://docs.google.com/spreadsheets/d/1XL5vhW3sbDhbH9Cz0tuDiY8C3ctxq1tqvaCgkFb8cCA/edit?usp=sharing"",""กาฬสินธุ์!J365"")"),234)</f>
        <v>234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IFERROR(__xludf.DUMMYFUNCTION("IMPORTRANGE(""https://docs.google.com/spreadsheets/d/1XL5vhW3sbDhbH9Cz0tuDiY8C3ctxq1tqvaCgkFb8cCA/edit?usp=sharing"",""กาฬสินธุ์!I366"")"),0)</f>
        <v>0</v>
      </c>
      <c r="J471" s="190">
        <f ca="1">IFERROR(__xludf.DUMMYFUNCTION("IMPORTRANGE(""https://docs.google.com/spreadsheets/d/1XL5vhW3sbDhbH9Cz0tuDiY8C3ctxq1tqvaCgkFb8cCA/edit?usp=sharing"",""กาฬสินธุ์!J366"")"),1310)</f>
        <v>1310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IFERROR(__xludf.DUMMYFUNCTION("IMPORTRANGE(""https://docs.google.com/spreadsheets/d/1XL5vhW3sbDhbH9Cz0tuDiY8C3ctxq1tqvaCgkFb8cCA/edit?usp=sharing"",""กาฬสินธุ์!I367"")"),0)</f>
        <v>0</v>
      </c>
      <c r="J472" s="190">
        <f ca="1">IFERROR(__xludf.DUMMYFUNCTION("IMPORTRANGE(""https://docs.google.com/spreadsheets/d/1XL5vhW3sbDhbH9Cz0tuDiY8C3ctxq1tqvaCgkFb8cCA/edit?usp=sharing"",""กาฬสินธุ์!J367"")"),100)</f>
        <v>100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IFERROR(__xludf.DUMMYFUNCTION("IMPORTRANGE(""https://docs.google.com/spreadsheets/d/1XL5vhW3sbDhbH9Cz0tuDiY8C3ctxq1tqvaCgkFb8cCA/edit?usp=sharing"",""กาฬสินธุ์!I370"")"),0)</f>
        <v>0</v>
      </c>
      <c r="J475" s="190">
        <f ca="1">IFERROR(__xludf.DUMMYFUNCTION("IMPORTRANGE(""https://docs.google.com/spreadsheets/d/1XL5vhW3sbDhbH9Cz0tuDiY8C3ctxq1tqvaCgkFb8cCA/edit?usp=sharing"",""กาฬสินธุ์!J370"")"),0)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IFERROR(__xludf.DUMMYFUNCTION("IMPORTRANGE(""https://docs.google.com/spreadsheets/d/1XL5vhW3sbDhbH9Cz0tuDiY8C3ctxq1tqvaCgkFb8cCA/edit?usp=sharing"",""กาฬสินธุ์!I371"")"),0)</f>
        <v>0</v>
      </c>
      <c r="J476" s="190">
        <f ca="1">IFERROR(__xludf.DUMMYFUNCTION("IMPORTRANGE(""https://docs.google.com/spreadsheets/d/1XL5vhW3sbDhbH9Cz0tuDiY8C3ctxq1tqvaCgkFb8cCA/edit?usp=sharing"",""กาฬสินธุ์!J371"")"),0)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IFERROR(__xludf.DUMMYFUNCTION("IMPORTRANGE(""https://docs.google.com/spreadsheets/d/1XL5vhW3sbDhbH9Cz0tuDiY8C3ctxq1tqvaCgkFb8cCA/edit?usp=sharing"",""กาฬสินธุ์!I372"")"),0)</f>
        <v>0</v>
      </c>
      <c r="J477" s="190">
        <f ca="1">IFERROR(__xludf.DUMMYFUNCTION("IMPORTRANGE(""https://docs.google.com/spreadsheets/d/1XL5vhW3sbDhbH9Cz0tuDiY8C3ctxq1tqvaCgkFb8cCA/edit?usp=sharing"",""กาฬสินธุ์!J372"")"),0)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IFERROR(__xludf.DUMMYFUNCTION("IMPORTRANGE(""https://docs.google.com/spreadsheets/d/1XL5vhW3sbDhbH9Cz0tuDiY8C3ctxq1tqvaCgkFb8cCA/edit?usp=sharing"",""กาฬสินธุ์!I373"")"),0)</f>
        <v>0</v>
      </c>
      <c r="J478" s="190">
        <f ca="1">IFERROR(__xludf.DUMMYFUNCTION("IMPORTRANGE(""https://docs.google.com/spreadsheets/d/1XL5vhW3sbDhbH9Cz0tuDiY8C3ctxq1tqvaCgkFb8cCA/edit?usp=sharing"",""กาฬสินธุ์!J373"")"),0)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IFERROR(__xludf.DUMMYFUNCTION("IMPORTRANGE(""https://docs.google.com/spreadsheets/d/1XL5vhW3sbDhbH9Cz0tuDiY8C3ctxq1tqvaCgkFb8cCA/edit?usp=sharing"",""กาฬสินธุ์!I374"")"),0)</f>
        <v>0</v>
      </c>
      <c r="J479" s="190">
        <f ca="1">IFERROR(__xludf.DUMMYFUNCTION("IMPORTRANGE(""https://docs.google.com/spreadsheets/d/1XL5vhW3sbDhbH9Cz0tuDiY8C3ctxq1tqvaCgkFb8cCA/edit?usp=sharing"",""กาฬสินธุ์!J374"")"),0)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IFERROR(__xludf.DUMMYFUNCTION("IMPORTRANGE(""https://docs.google.com/spreadsheets/d/1XL5vhW3sbDhbH9Cz0tuDiY8C3ctxq1tqvaCgkFb8cCA/edit?usp=sharing"",""กาฬสินธุ์!I375"")"),0)</f>
        <v>0</v>
      </c>
      <c r="J480" s="190">
        <f ca="1">IFERROR(__xludf.DUMMYFUNCTION("IMPORTRANGE(""https://docs.google.com/spreadsheets/d/1XL5vhW3sbDhbH9Cz0tuDiY8C3ctxq1tqvaCgkFb8cCA/edit?usp=sharing"",""กาฬสินธุ์!J375"")"),0)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IFERROR(__xludf.DUMMYFUNCTION("IMPORTRANGE(""https://docs.google.com/spreadsheets/d/1XL5vhW3sbDhbH9Cz0tuDiY8C3ctxq1tqvaCgkFb8cCA/edit?usp=sharing"",""กาฬสินธุ์!I378"")"),0)</f>
        <v>0</v>
      </c>
      <c r="J483" s="190">
        <f ca="1">IFERROR(__xludf.DUMMYFUNCTION("IMPORTRANGE(""https://docs.google.com/spreadsheets/d/1XL5vhW3sbDhbH9Cz0tuDiY8C3ctxq1tqvaCgkFb8cCA/edit?usp=sharing"",""กาฬสินธุ์!J378"")"),0)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IFERROR(__xludf.DUMMYFUNCTION("IMPORTRANGE(""https://docs.google.com/spreadsheets/d/1XL5vhW3sbDhbH9Cz0tuDiY8C3ctxq1tqvaCgkFb8cCA/edit?usp=sharing"",""กาฬสินธุ์!I379"")"),0)</f>
        <v>0</v>
      </c>
      <c r="J484" s="190">
        <f ca="1">IFERROR(__xludf.DUMMYFUNCTION("IMPORTRANGE(""https://docs.google.com/spreadsheets/d/1XL5vhW3sbDhbH9Cz0tuDiY8C3ctxq1tqvaCgkFb8cCA/edit?usp=sharing"",""กาฬสินธุ์!J379"")"),0)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IFERROR(__xludf.DUMMYFUNCTION("IMPORTRANGE(""https://docs.google.com/spreadsheets/d/1XL5vhW3sbDhbH9Cz0tuDiY8C3ctxq1tqvaCgkFb8cCA/edit?usp=sharing"",""กาฬสินธุ์!I380"")"),0)</f>
        <v>0</v>
      </c>
      <c r="J485" s="190">
        <f ca="1">IFERROR(__xludf.DUMMYFUNCTION("IMPORTRANGE(""https://docs.google.com/spreadsheets/d/1XL5vhW3sbDhbH9Cz0tuDiY8C3ctxq1tqvaCgkFb8cCA/edit?usp=sharing"",""กาฬสินธุ์!J380"")"),0)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IFERROR(__xludf.DUMMYFUNCTION("IMPORTRANGE(""https://docs.google.com/spreadsheets/d/1XL5vhW3sbDhbH9Cz0tuDiY8C3ctxq1tqvaCgkFb8cCA/edit?usp=sharing"",""กาฬสินธุ์!I381"")"),0)</f>
        <v>0</v>
      </c>
      <c r="J486" s="190">
        <f ca="1">IFERROR(__xludf.DUMMYFUNCTION("IMPORTRANGE(""https://docs.google.com/spreadsheets/d/1XL5vhW3sbDhbH9Cz0tuDiY8C3ctxq1tqvaCgkFb8cCA/edit?usp=sharing"",""กาฬสินธุ์!J381"")"),0)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IFERROR(__xludf.DUMMYFUNCTION("IMPORTRANGE(""https://docs.google.com/spreadsheets/d/1XL5vhW3sbDhbH9Cz0tuDiY8C3ctxq1tqvaCgkFb8cCA/edit?usp=sharing"",""กาฬสินธุ์!I384"")"),0)</f>
        <v>0</v>
      </c>
      <c r="J489" s="190">
        <f ca="1">IFERROR(__xludf.DUMMYFUNCTION("IMPORTRANGE(""https://docs.google.com/spreadsheets/d/1XL5vhW3sbDhbH9Cz0tuDiY8C3ctxq1tqvaCgkFb8cCA/edit?usp=sharing"",""กาฬสินธุ์!J384"")"),0)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IFERROR(__xludf.DUMMYFUNCTION("IMPORTRANGE(""https://docs.google.com/spreadsheets/d/1XL5vhW3sbDhbH9Cz0tuDiY8C3ctxq1tqvaCgkFb8cCA/edit?usp=sharing"",""กาฬสินธุ์!I385"")"),0)</f>
        <v>0</v>
      </c>
      <c r="J490" s="190">
        <f ca="1">IFERROR(__xludf.DUMMYFUNCTION("IMPORTRANGE(""https://docs.google.com/spreadsheets/d/1XL5vhW3sbDhbH9Cz0tuDiY8C3ctxq1tqvaCgkFb8cCA/edit?usp=sharing"",""กาฬสินธุ์!J385"")"),0)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IFERROR(__xludf.DUMMYFUNCTION("IMPORTRANGE(""https://docs.google.com/spreadsheets/d/1XL5vhW3sbDhbH9Cz0tuDiY8C3ctxq1tqvaCgkFb8cCA/edit?usp=sharing"",""กาฬสินธุ์!I386"")"),0)</f>
        <v>0</v>
      </c>
      <c r="J491" s="190">
        <f ca="1">IFERROR(__xludf.DUMMYFUNCTION("IMPORTRANGE(""https://docs.google.com/spreadsheets/d/1XL5vhW3sbDhbH9Cz0tuDiY8C3ctxq1tqvaCgkFb8cCA/edit?usp=sharing"",""กาฬสินธุ์!J386"")"),0)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IFERROR(__xludf.DUMMYFUNCTION("IMPORTRANGE(""https://docs.google.com/spreadsheets/d/1XL5vhW3sbDhbH9Cz0tuDiY8C3ctxq1tqvaCgkFb8cCA/edit?usp=sharing"",""กาฬสินธุ์!I387"")"),0)</f>
        <v>0</v>
      </c>
      <c r="J492" s="190">
        <f ca="1">IFERROR(__xludf.DUMMYFUNCTION("IMPORTRANGE(""https://docs.google.com/spreadsheets/d/1XL5vhW3sbDhbH9Cz0tuDiY8C3ctxq1tqvaCgkFb8cCA/edit?usp=sharing"",""กาฬสินธุ์!J387"")"),0)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IFERROR(__xludf.DUMMYFUNCTION("IMPORTRANGE(""https://docs.google.com/spreadsheets/d/1XL5vhW3sbDhbH9Cz0tuDiY8C3ctxq1tqvaCgkFb8cCA/edit?usp=sharing"",""กาฬสินธุ์!I388"")"),0)</f>
        <v>0</v>
      </c>
      <c r="J493" s="190">
        <f ca="1">IFERROR(__xludf.DUMMYFUNCTION("IMPORTRANGE(""https://docs.google.com/spreadsheets/d/1XL5vhW3sbDhbH9Cz0tuDiY8C3ctxq1tqvaCgkFb8cCA/edit?usp=sharing"",""กาฬสินธุ์!J388"")"),0)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IFERROR(__xludf.DUMMYFUNCTION("IMPORTRANGE(""https://docs.google.com/spreadsheets/d/1XL5vhW3sbDhbH9Cz0tuDiY8C3ctxq1tqvaCgkFb8cCA/edit?usp=sharing"",""กาฬสินธุ์!J392"")"),526)</f>
        <v>526</v>
      </c>
      <c r="K497" s="444">
        <f t="shared" ca="1" si="117"/>
        <v>29.80169971671388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IFERROR(__xludf.DUMMYFUNCTION("IMPORTRANGE(""https://docs.google.com/spreadsheets/d/1XL5vhW3sbDhbH9Cz0tuDiY8C3ctxq1tqvaCgkFb8cCA/edit?usp=sharing"",""กาฬสินธุ์!J393"")"),526)</f>
        <v>526</v>
      </c>
      <c r="K498" s="165">
        <f t="shared" ca="1" si="117"/>
        <v>29.80169971671388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IFERROR(__xludf.DUMMYFUNCTION("IMPORTRANGE(""https://docs.google.com/spreadsheets/d/1XL5vhW3sbDhbH9Cz0tuDiY8C3ctxq1tqvaCgkFb8cCA/edit?usp=sharing"",""กาฬสินธุ์!J394"")"),54)</f>
        <v>54</v>
      </c>
      <c r="K499" s="203">
        <f t="shared" ca="1" si="117"/>
        <v>31.395348837209301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IFERROR(__xludf.DUMMYFUNCTION("IMPORTRANGE(""https://docs.google.com/spreadsheets/d/1XL5vhW3sbDhbH9Cz0tuDiY8C3ctxq1tqvaCgkFb8cCA/edit?usp=sharing"",""กาฬสินธุ์!I395"")"),0)</f>
        <v>0</v>
      </c>
      <c r="J500" s="164">
        <f ca="1">IFERROR(__xludf.DUMMYFUNCTION("IMPORTRANGE(""https://docs.google.com/spreadsheets/d/1XL5vhW3sbDhbH9Cz0tuDiY8C3ctxq1tqvaCgkFb8cCA/edit?usp=sharing"",""กาฬสินธุ์!J395"")"),296)</f>
        <v>296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IFERROR(__xludf.DUMMYFUNCTION("IMPORTRANGE(""https://docs.google.com/spreadsheets/d/1XL5vhW3sbDhbH9Cz0tuDiY8C3ctxq1tqvaCgkFb8cCA/edit?usp=sharing"",""กาฬสินธุ์!I396"")"),0)</f>
        <v>0</v>
      </c>
      <c r="J501" s="164">
        <f ca="1">IFERROR(__xludf.DUMMYFUNCTION("IMPORTRANGE(""https://docs.google.com/spreadsheets/d/1XL5vhW3sbDhbH9Cz0tuDiY8C3ctxq1tqvaCgkFb8cCA/edit?usp=sharing"",""กาฬสินธุ์!J396"")"),24)</f>
        <v>24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IFERROR(__xludf.DUMMYFUNCTION("IMPORTRANGE(""https://docs.google.com/spreadsheets/d/1XL5vhW3sbDhbH9Cz0tuDiY8C3ctxq1tqvaCgkFb8cCA/edit?usp=sharing"",""กาฬสินธุ์!I397"")"),0)</f>
        <v>0</v>
      </c>
      <c r="J502" s="190">
        <f ca="1">IFERROR(__xludf.DUMMYFUNCTION("IMPORTRANGE(""https://docs.google.com/spreadsheets/d/1XL5vhW3sbDhbH9Cz0tuDiY8C3ctxq1tqvaCgkFb8cCA/edit?usp=sharing"",""กาฬสินธุ์!J397"")"),296)</f>
        <v>296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IFERROR(__xludf.DUMMYFUNCTION("IMPORTRANGE(""https://docs.google.com/spreadsheets/d/1XL5vhW3sbDhbH9Cz0tuDiY8C3ctxq1tqvaCgkFb8cCA/edit?usp=sharing"",""กาฬสินธุ์!I398"")"),0)</f>
        <v>0</v>
      </c>
      <c r="J503" s="199">
        <f ca="1">IFERROR(__xludf.DUMMYFUNCTION("IMPORTRANGE(""https://docs.google.com/spreadsheets/d/1XL5vhW3sbDhbH9Cz0tuDiY8C3ctxq1tqvaCgkFb8cCA/edit?usp=sharing"",""กาฬสินธุ์!J398"")"),24)</f>
        <v>24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IFERROR(__xludf.DUMMYFUNCTION("IMPORTRANGE(""https://docs.google.com/spreadsheets/d/1XL5vhW3sbDhbH9Cz0tuDiY8C3ctxq1tqvaCgkFb8cCA/edit?usp=sharing"",""กาฬสินธุ์!I399"")"),0)</f>
        <v>0</v>
      </c>
      <c r="J504" s="190">
        <f ca="1">IFERROR(__xludf.DUMMYFUNCTION("IMPORTRANGE(""https://docs.google.com/spreadsheets/d/1XL5vhW3sbDhbH9Cz0tuDiY8C3ctxq1tqvaCgkFb8cCA/edit?usp=sharing"",""กาฬสินธุ์!J399"")"),0)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IFERROR(__xludf.DUMMYFUNCTION("IMPORTRANGE(""https://docs.google.com/spreadsheets/d/1XL5vhW3sbDhbH9Cz0tuDiY8C3ctxq1tqvaCgkFb8cCA/edit?usp=sharing"",""กาฬสินธุ์!I400"")"),0)</f>
        <v>0</v>
      </c>
      <c r="J505" s="199">
        <f ca="1">IFERROR(__xludf.DUMMYFUNCTION("IMPORTRANGE(""https://docs.google.com/spreadsheets/d/1XL5vhW3sbDhbH9Cz0tuDiY8C3ctxq1tqvaCgkFb8cCA/edit?usp=sharing"",""กาฬสินธุ์!J400"")"),0)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IFERROR(__xludf.DUMMYFUNCTION("IMPORTRANGE(""https://docs.google.com/spreadsheets/d/1XL5vhW3sbDhbH9Cz0tuDiY8C3ctxq1tqvaCgkFb8cCA/edit?usp=sharing"",""กาฬสินธุ์!I401"")"),0)</f>
        <v>0</v>
      </c>
      <c r="J506" s="190">
        <f ca="1">IFERROR(__xludf.DUMMYFUNCTION("IMPORTRANGE(""https://docs.google.com/spreadsheets/d/1XL5vhW3sbDhbH9Cz0tuDiY8C3ctxq1tqvaCgkFb8cCA/edit?usp=sharing"",""กาฬสินธุ์!J401"")"),0)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IFERROR(__xludf.DUMMYFUNCTION("IMPORTRANGE(""https://docs.google.com/spreadsheets/d/1XL5vhW3sbDhbH9Cz0tuDiY8C3ctxq1tqvaCgkFb8cCA/edit?usp=sharing"",""กาฬสินธุ์!I402"")"),0)</f>
        <v>0</v>
      </c>
      <c r="J507" s="199">
        <f ca="1">IFERROR(__xludf.DUMMYFUNCTION("IMPORTRANGE(""https://docs.google.com/spreadsheets/d/1XL5vhW3sbDhbH9Cz0tuDiY8C3ctxq1tqvaCgkFb8cCA/edit?usp=sharing"",""กาฬสินธุ์!J402"")"),0)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IFERROR(__xludf.DUMMYFUNCTION("IMPORTRANGE(""https://docs.google.com/spreadsheets/d/1XL5vhW3sbDhbH9Cz0tuDiY8C3ctxq1tqvaCgkFb8cCA/edit?usp=sharing"",""กาฬสินธุ์!I403"")"),0)</f>
        <v>0</v>
      </c>
      <c r="J508" s="164">
        <f ca="1">IFERROR(__xludf.DUMMYFUNCTION("IMPORTRANGE(""https://docs.google.com/spreadsheets/d/1XL5vhW3sbDhbH9Cz0tuDiY8C3ctxq1tqvaCgkFb8cCA/edit?usp=sharing"",""กาฬสินธุ์!J403"")"),40)</f>
        <v>40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IFERROR(__xludf.DUMMYFUNCTION("IMPORTRANGE(""https://docs.google.com/spreadsheets/d/1XL5vhW3sbDhbH9Cz0tuDiY8C3ctxq1tqvaCgkFb8cCA/edit?usp=sharing"",""กาฬสินธุ์!I404"")"),0)</f>
        <v>0</v>
      </c>
      <c r="J509" s="164">
        <f ca="1">IFERROR(__xludf.DUMMYFUNCTION("IMPORTRANGE(""https://docs.google.com/spreadsheets/d/1XL5vhW3sbDhbH9Cz0tuDiY8C3ctxq1tqvaCgkFb8cCA/edit?usp=sharing"",""กาฬสินธุ์!J404"")"),7)</f>
        <v>7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IFERROR(__xludf.DUMMYFUNCTION("IMPORTRANGE(""https://docs.google.com/spreadsheets/d/1XL5vhW3sbDhbH9Cz0tuDiY8C3ctxq1tqvaCgkFb8cCA/edit?usp=sharing"",""กาฬสินธุ์!I405"")"),0)</f>
        <v>0</v>
      </c>
      <c r="J510" s="199">
        <f ca="1">IFERROR(__xludf.DUMMYFUNCTION("IMPORTRANGE(""https://docs.google.com/spreadsheets/d/1XL5vhW3sbDhbH9Cz0tuDiY8C3ctxq1tqvaCgkFb8cCA/edit?usp=sharing"",""กาฬสินธุ์!J405"")"),35)</f>
        <v>35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IFERROR(__xludf.DUMMYFUNCTION("IMPORTRANGE(""https://docs.google.com/spreadsheets/d/1XL5vhW3sbDhbH9Cz0tuDiY8C3ctxq1tqvaCgkFb8cCA/edit?usp=sharing"",""กาฬสินธุ์!I406"")"),0)</f>
        <v>0</v>
      </c>
      <c r="J511" s="199">
        <f ca="1">IFERROR(__xludf.DUMMYFUNCTION("IMPORTRANGE(""https://docs.google.com/spreadsheets/d/1XL5vhW3sbDhbH9Cz0tuDiY8C3ctxq1tqvaCgkFb8cCA/edit?usp=sharing"",""กาฬสินธุ์!J406"")"),6)</f>
        <v>6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IFERROR(__xludf.DUMMYFUNCTION("IMPORTRANGE(""https://docs.google.com/spreadsheets/d/1XL5vhW3sbDhbH9Cz0tuDiY8C3ctxq1tqvaCgkFb8cCA/edit?usp=sharing"",""กาฬสินธุ์!I407"")"),0)</f>
        <v>0</v>
      </c>
      <c r="J512" s="199">
        <f ca="1">IFERROR(__xludf.DUMMYFUNCTION("IMPORTRANGE(""https://docs.google.com/spreadsheets/d/1XL5vhW3sbDhbH9Cz0tuDiY8C3ctxq1tqvaCgkFb8cCA/edit?usp=sharing"",""กาฬสินธุ์!J407"")"),5)</f>
        <v>5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IFERROR(__xludf.DUMMYFUNCTION("IMPORTRANGE(""https://docs.google.com/spreadsheets/d/1XL5vhW3sbDhbH9Cz0tuDiY8C3ctxq1tqvaCgkFb8cCA/edit?usp=sharing"",""กาฬสินธุ์!I408"")"),0)</f>
        <v>0</v>
      </c>
      <c r="J513" s="199">
        <f ca="1">IFERROR(__xludf.DUMMYFUNCTION("IMPORTRANGE(""https://docs.google.com/spreadsheets/d/1XL5vhW3sbDhbH9Cz0tuDiY8C3ctxq1tqvaCgkFb8cCA/edit?usp=sharing"",""กาฬสินธุ์!J408"")"),1)</f>
        <v>1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IFERROR(__xludf.DUMMYFUNCTION("IMPORTRANGE(""https://docs.google.com/spreadsheets/d/1XL5vhW3sbDhbH9Cz0tuDiY8C3ctxq1tqvaCgkFb8cCA/edit?usp=sharing"",""กาฬสินธุ์!I409"")"),0)</f>
        <v>0</v>
      </c>
      <c r="J514" s="199">
        <f ca="1">IFERROR(__xludf.DUMMYFUNCTION("IMPORTRANGE(""https://docs.google.com/spreadsheets/d/1XL5vhW3sbDhbH9Cz0tuDiY8C3ctxq1tqvaCgkFb8cCA/edit?usp=sharing"",""กาฬสินธุ์!J409"")"),190)</f>
        <v>190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IFERROR(__xludf.DUMMYFUNCTION("IMPORTRANGE(""https://docs.google.com/spreadsheets/d/1XL5vhW3sbDhbH9Cz0tuDiY8C3ctxq1tqvaCgkFb8cCA/edit?usp=sharing"",""กาฬสินธุ์!I410"")"),0)</f>
        <v>0</v>
      </c>
      <c r="J515" s="199">
        <f ca="1">IFERROR(__xludf.DUMMYFUNCTION("IMPORTRANGE(""https://docs.google.com/spreadsheets/d/1XL5vhW3sbDhbH9Cz0tuDiY8C3ctxq1tqvaCgkFb8cCA/edit?usp=sharing"",""กาฬสินธุ์!J410"")"),23)</f>
        <v>23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IFERROR(__xludf.DUMMYFUNCTION("IMPORTRANGE(""https://docs.google.com/spreadsheets/d/1XL5vhW3sbDhbH9Cz0tuDiY8C3ctxq1tqvaCgkFb8cCA/edit?usp=sharing"",""กาฬสินธุ์!I412"")"),0)</f>
        <v>0</v>
      </c>
      <c r="J517" s="284">
        <f ca="1">IFERROR(__xludf.DUMMYFUNCTION("IMPORTRANGE(""https://docs.google.com/spreadsheets/d/1XL5vhW3sbDhbH9Cz0tuDiY8C3ctxq1tqvaCgkFb8cCA/edit?usp=sharing"",""กาฬสินธุ์!J412"")"),0)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IFERROR(__xludf.DUMMYFUNCTION("IMPORTRANGE(""https://docs.google.com/spreadsheets/d/1XL5vhW3sbDhbH9Cz0tuDiY8C3ctxq1tqvaCgkFb8cCA/edit?usp=sharing"",""กาฬสินธุ์!I413"")"),0)</f>
        <v>0</v>
      </c>
      <c r="J518" s="284">
        <f ca="1">IFERROR(__xludf.DUMMYFUNCTION("IMPORTRANGE(""https://docs.google.com/spreadsheets/d/1XL5vhW3sbDhbH9Cz0tuDiY8C3ctxq1tqvaCgkFb8cCA/edit?usp=sharing"",""กาฬสินธุ์!J413"")"),0)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IFERROR(__xludf.DUMMYFUNCTION("IMPORTRANGE(""https://docs.google.com/spreadsheets/d/1XL5vhW3sbDhbH9Cz0tuDiY8C3ctxq1tqvaCgkFb8cCA/edit?usp=sharing"",""กาฬสินธุ์!I414"")"),0)</f>
        <v>0</v>
      </c>
      <c r="J519" s="189">
        <f ca="1">IFERROR(__xludf.DUMMYFUNCTION("IMPORTRANGE(""https://docs.google.com/spreadsheets/d/1XL5vhW3sbDhbH9Cz0tuDiY8C3ctxq1tqvaCgkFb8cCA/edit?usp=sharing"",""กาฬสินธุ์!J414"")"),0)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IFERROR(__xludf.DUMMYFUNCTION("IMPORTRANGE(""https://docs.google.com/spreadsheets/d/1XL5vhW3sbDhbH9Cz0tuDiY8C3ctxq1tqvaCgkFb8cCA/edit?usp=sharing"",""กาฬสินธุ์!I415"")"),0)</f>
        <v>0</v>
      </c>
      <c r="J520" s="189">
        <f ca="1">IFERROR(__xludf.DUMMYFUNCTION("IMPORTRANGE(""https://docs.google.com/spreadsheets/d/1XL5vhW3sbDhbH9Cz0tuDiY8C3ctxq1tqvaCgkFb8cCA/edit?usp=sharing"",""กาฬสินธุ์!J415"")"),0)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IFERROR(__xludf.DUMMYFUNCTION("IMPORTRANGE(""https://docs.google.com/spreadsheets/d/1XL5vhW3sbDhbH9Cz0tuDiY8C3ctxq1tqvaCgkFb8cCA/edit?usp=sharing"",""กาฬสินธุ์!I416"")"),0)</f>
        <v>0</v>
      </c>
      <c r="J521" s="189">
        <f ca="1">IFERROR(__xludf.DUMMYFUNCTION("IMPORTRANGE(""https://docs.google.com/spreadsheets/d/1XL5vhW3sbDhbH9Cz0tuDiY8C3ctxq1tqvaCgkFb8cCA/edit?usp=sharing"",""กาฬสินธุ์!J416"")"),0)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IFERROR(__xludf.DUMMYFUNCTION("IMPORTRANGE(""https://docs.google.com/spreadsheets/d/1XL5vhW3sbDhbH9Cz0tuDiY8C3ctxq1tqvaCgkFb8cCA/edit?usp=sharing"",""กาฬสินธุ์!I417"")"),0)</f>
        <v>0</v>
      </c>
      <c r="J522" s="189">
        <f ca="1">IFERROR(__xludf.DUMMYFUNCTION("IMPORTRANGE(""https://docs.google.com/spreadsheets/d/1XL5vhW3sbDhbH9Cz0tuDiY8C3ctxq1tqvaCgkFb8cCA/edit?usp=sharing"",""กาฬสินธุ์!J417"")"),0)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IFERROR(__xludf.DUMMYFUNCTION("IMPORTRANGE(""https://docs.google.com/spreadsheets/d/1XL5vhW3sbDhbH9Cz0tuDiY8C3ctxq1tqvaCgkFb8cCA/edit?usp=sharing"",""กาฬสินธุ์!I418"")"),0)</f>
        <v>0</v>
      </c>
      <c r="J523" s="189">
        <f ca="1">IFERROR(__xludf.DUMMYFUNCTION("IMPORTRANGE(""https://docs.google.com/spreadsheets/d/1XL5vhW3sbDhbH9Cz0tuDiY8C3ctxq1tqvaCgkFb8cCA/edit?usp=sharing"",""กาฬสินธุ์!J418"")"),0)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IFERROR(__xludf.DUMMYFUNCTION("IMPORTRANGE(""https://docs.google.com/spreadsheets/d/1XL5vhW3sbDhbH9Cz0tuDiY8C3ctxq1tqvaCgkFb8cCA/edit?usp=sharing"",""กาฬสินธุ์!I419"")"),0)</f>
        <v>0</v>
      </c>
      <c r="J524" s="189">
        <f ca="1">IFERROR(__xludf.DUMMYFUNCTION("IMPORTRANGE(""https://docs.google.com/spreadsheets/d/1XL5vhW3sbDhbH9Cz0tuDiY8C3ctxq1tqvaCgkFb8cCA/edit?usp=sharing"",""กาฬสินธุ์!J419"")"),0)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IFERROR(__xludf.DUMMYFUNCTION("IMPORTRANGE(""https://docs.google.com/spreadsheets/d/1XL5vhW3sbDhbH9Cz0tuDiY8C3ctxq1tqvaCgkFb8cCA/edit?usp=sharing"",""กาฬสินธุ์!I420"")"),0)</f>
        <v>0</v>
      </c>
      <c r="J525" s="284">
        <f ca="1">IFERROR(__xludf.DUMMYFUNCTION("IMPORTRANGE(""https://docs.google.com/spreadsheets/d/1XL5vhW3sbDhbH9Cz0tuDiY8C3ctxq1tqvaCgkFb8cCA/edit?usp=sharing"",""กาฬสินธุ์!J420"")"),0)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IFERROR(__xludf.DUMMYFUNCTION("IMPORTRANGE(""https://docs.google.com/spreadsheets/d/1XL5vhW3sbDhbH9Cz0tuDiY8C3ctxq1tqvaCgkFb8cCA/edit?usp=sharing"",""กาฬสินธุ์!I421"")"),0)</f>
        <v>0</v>
      </c>
      <c r="J526" s="284">
        <f ca="1">IFERROR(__xludf.DUMMYFUNCTION("IMPORTRANGE(""https://docs.google.com/spreadsheets/d/1XL5vhW3sbDhbH9Cz0tuDiY8C3ctxq1tqvaCgkFb8cCA/edit?usp=sharing"",""กาฬสินธุ์!J421"")"),0)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IFERROR(__xludf.DUMMYFUNCTION("IMPORTRANGE(""https://docs.google.com/spreadsheets/d/1XL5vhW3sbDhbH9Cz0tuDiY8C3ctxq1tqvaCgkFb8cCA/edit?usp=sharing"",""กาฬสินธุ์!I422"")"),0)</f>
        <v>0</v>
      </c>
      <c r="J527" s="199">
        <f ca="1">IFERROR(__xludf.DUMMYFUNCTION("IMPORTRANGE(""https://docs.google.com/spreadsheets/d/1XL5vhW3sbDhbH9Cz0tuDiY8C3ctxq1tqvaCgkFb8cCA/edit?usp=sharing"",""กาฬสินธุ์!J422"")"),0)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IFERROR(__xludf.DUMMYFUNCTION("IMPORTRANGE(""https://docs.google.com/spreadsheets/d/1XL5vhW3sbDhbH9Cz0tuDiY8C3ctxq1tqvaCgkFb8cCA/edit?usp=sharing"",""กาฬสินธุ์!I423"")"),0)</f>
        <v>0</v>
      </c>
      <c r="J528" s="199">
        <f ca="1">IFERROR(__xludf.DUMMYFUNCTION("IMPORTRANGE(""https://docs.google.com/spreadsheets/d/1XL5vhW3sbDhbH9Cz0tuDiY8C3ctxq1tqvaCgkFb8cCA/edit?usp=sharing"",""กาฬสินธุ์!J423"")"),0)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IFERROR(__xludf.DUMMYFUNCTION("IMPORTRANGE(""https://docs.google.com/spreadsheets/d/1XL5vhW3sbDhbH9Cz0tuDiY8C3ctxq1tqvaCgkFb8cCA/edit?usp=sharing"",""กาฬสินธุ์!I424"")"),0)</f>
        <v>0</v>
      </c>
      <c r="J529" s="199">
        <f ca="1">IFERROR(__xludf.DUMMYFUNCTION("IMPORTRANGE(""https://docs.google.com/spreadsheets/d/1XL5vhW3sbDhbH9Cz0tuDiY8C3ctxq1tqvaCgkFb8cCA/edit?usp=sharing"",""กาฬสินธุ์!J424"")"),0)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IFERROR(__xludf.DUMMYFUNCTION("IMPORTRANGE(""https://docs.google.com/spreadsheets/d/1XL5vhW3sbDhbH9Cz0tuDiY8C3ctxq1tqvaCgkFb8cCA/edit?usp=sharing"",""กาฬสินธุ์!I425"")"),0)</f>
        <v>0</v>
      </c>
      <c r="J530" s="199">
        <f ca="1">IFERROR(__xludf.DUMMYFUNCTION("IMPORTRANGE(""https://docs.google.com/spreadsheets/d/1XL5vhW3sbDhbH9Cz0tuDiY8C3ctxq1tqvaCgkFb8cCA/edit?usp=sharing"",""กาฬสินธุ์!J425"")"),0)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IFERROR(__xludf.DUMMYFUNCTION("IMPORTRANGE(""https://docs.google.com/spreadsheets/d/1XL5vhW3sbDhbH9Cz0tuDiY8C3ctxq1tqvaCgkFb8cCA/edit?usp=sharing"",""กาฬสินธุ์!I426"")"),0)</f>
        <v>0</v>
      </c>
      <c r="J531" s="199">
        <f ca="1">IFERROR(__xludf.DUMMYFUNCTION("IMPORTRANGE(""https://docs.google.com/spreadsheets/d/1XL5vhW3sbDhbH9Cz0tuDiY8C3ctxq1tqvaCgkFb8cCA/edit?usp=sharing"",""กาฬสินธุ์!J426"")"),0)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IFERROR(__xludf.DUMMYFUNCTION("IMPORTRANGE(""https://docs.google.com/spreadsheets/d/1XL5vhW3sbDhbH9Cz0tuDiY8C3ctxq1tqvaCgkFb8cCA/edit?usp=sharing"",""กาฬสินธุ์!M428"")"),24034)</f>
        <v>24034</v>
      </c>
      <c r="O533" s="412">
        <f t="shared" ref="O533:O537" ca="1" si="118">+IF(L533&gt;0,N533*100/L533,0)</f>
        <v>75.578616352201252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IFERROR(__xludf.DUMMYFUNCTION("IMPORTRANGE(""https://docs.google.com/spreadsheets/d/1XL5vhW3sbDhbH9Cz0tuDiY8C3ctxq1tqvaCgkFb8cCA/edit?usp=sharing"",""กาฬสินธุ์!L429"")"),0)</f>
        <v>0</v>
      </c>
      <c r="M534" s="166"/>
      <c r="N534" s="170">
        <f ca="1">IFERROR(__xludf.DUMMYFUNCTION("IMPORTRANGE(""https://docs.google.com/spreadsheets/d/1XL5vhW3sbDhbH9Cz0tuDiY8C3ctxq1tqvaCgkFb8cCA/edit?usp=sharing"",""กาฬสินธุ์!M429"")"),0)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IFERROR(__xludf.DUMMYFUNCTION("IMPORTRANGE(""https://docs.google.com/spreadsheets/d/1XL5vhW3sbDhbH9Cz0tuDiY8C3ctxq1tqvaCgkFb8cCA/edit?usp=sharing"",""กาฬสินธุ์!L430"")"),31800)</f>
        <v>31800</v>
      </c>
      <c r="M535" s="167"/>
      <c r="N535" s="170">
        <f ca="1">IFERROR(__xludf.DUMMYFUNCTION("IMPORTRANGE(""https://docs.google.com/spreadsheets/d/1XL5vhW3sbDhbH9Cz0tuDiY8C3ctxq1tqvaCgkFb8cCA/edit?usp=sharing"",""กาฬสินธุ์!M430"")"),24034)</f>
        <v>24034</v>
      </c>
      <c r="O535" s="170">
        <f t="shared" ca="1" si="118"/>
        <v>75.578616352201252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IFERROR(__xludf.DUMMYFUNCTION("IMPORTRANGE(""https://docs.google.com/spreadsheets/d/1XL5vhW3sbDhbH9Cz0tuDiY8C3ctxq1tqvaCgkFb8cCA/edit?usp=sharing"",""กาฬสินธุ์!L431"")"),0)</f>
        <v>0</v>
      </c>
      <c r="M536" s="170"/>
      <c r="N536" s="170">
        <f ca="1">IFERROR(__xludf.DUMMYFUNCTION("IMPORTRANGE(""https://docs.google.com/spreadsheets/d/1XL5vhW3sbDhbH9Cz0tuDiY8C3ctxq1tqvaCgkFb8cCA/edit?usp=sharing"",""กาฬสินธุ์!M431"")"),0)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IFERROR(__xludf.DUMMYFUNCTION("IMPORTRANGE(""https://docs.google.com/spreadsheets/d/1XL5vhW3sbDhbH9Cz0tuDiY8C3ctxq1tqvaCgkFb8cCA/edit?usp=sharing"",""กาฬสินธุ์!L432"")"),31800)</f>
        <v>31800</v>
      </c>
      <c r="M537" s="170"/>
      <c r="N537" s="170">
        <f ca="1">IFERROR(__xludf.DUMMYFUNCTION("IMPORTRANGE(""https://docs.google.com/spreadsheets/d/1XL5vhW3sbDhbH9Cz0tuDiY8C3ctxq1tqvaCgkFb8cCA/edit?usp=sharing"",""กาฬสินธุ์!M432"")"),24034)</f>
        <v>24034</v>
      </c>
      <c r="O537" s="170">
        <f t="shared" ca="1" si="118"/>
        <v>75.578616352201252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IFERROR(__xludf.DUMMYFUNCTION("IMPORTRANGE(""https://docs.google.com/spreadsheets/d/1XL5vhW3sbDhbH9Cz0tuDiY8C3ctxq1tqvaCgkFb8cCA/edit?usp=sharing"",""กาฬสินธุ์!M436"")"),9114)</f>
        <v>9114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IFERROR(__xludf.DUMMYFUNCTION("IMPORTRANGE(""https://docs.google.com/spreadsheets/d/1XL5vhW3sbDhbH9Cz0tuDiY8C3ctxq1tqvaCgkFb8cCA/edit?usp=sharing"",""กาฬสินธุ์!J438"")"),0)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IFERROR(__xludf.DUMMYFUNCTION("IMPORTRANGE(""https://docs.google.com/spreadsheets/d/1XL5vhW3sbDhbH9Cz0tuDiY8C3ctxq1tqvaCgkFb8cCA/edit?usp=sharing"",""กาฬสินธุ์!J439"")"),1)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IFERROR(__xludf.DUMMYFUNCTION("IMPORTRANGE(""https://docs.google.com/spreadsheets/d/1XL5vhW3sbDhbH9Cz0tuDiY8C3ctxq1tqvaCgkFb8cCA/edit?usp=sharing"",""กาฬสินธุ์!J440"")"),1)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IFERROR(__xludf.DUMMYFUNCTION("IMPORTRANGE(""https://docs.google.com/spreadsheets/d/1XL5vhW3sbDhbH9Cz0tuDiY8C3ctxq1tqvaCgkFb8cCA/edit?usp=sharing"",""กาฬสินธุ์!J441"")"),1)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IFERROR(__xludf.DUMMYFUNCTION("IMPORTRANGE(""https://docs.google.com/spreadsheets/d/1XL5vhW3sbDhbH9Cz0tuDiY8C3ctxq1tqvaCgkFb8cCA/edit?usp=sharing"",""กาฬสินธุ์!I442"")"),19)</f>
        <v>19</v>
      </c>
      <c r="J547" s="190">
        <f ca="1">IFERROR(__xludf.DUMMYFUNCTION("IMPORTRANGE(""https://docs.google.com/spreadsheets/d/1XL5vhW3sbDhbH9Cz0tuDiY8C3ctxq1tqvaCgkFb8cCA/edit?usp=sharing"",""กาฬสินธุ์!J442"")"),19)</f>
        <v>19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IFERROR(__xludf.DUMMYFUNCTION("IMPORTRANGE(""https://docs.google.com/spreadsheets/d/1XL5vhW3sbDhbH9Cz0tuDiY8C3ctxq1tqvaCgkFb8cCA/edit?usp=sharing"",""กาฬสินธุ์!J166"")"),0)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IFERROR(__xludf.DUMMYFUNCTION("IMPORTRANGE(""https://docs.google.com/spreadsheets/d/1XL5vhW3sbDhbH9Cz0tuDiY8C3ctxq1tqvaCgkFb8cCA/edit?usp=sharing"",""กาฬสินธุ์!J444"")"),0)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IFERROR(__xludf.DUMMYFUNCTION("IMPORTRANGE(""https://docs.google.com/spreadsheets/d/1XL5vhW3sbDhbH9Cz0tuDiY8C3ctxq1tqvaCgkFb8cCA/edit?usp=sharing"",""กาฬสินธุ์!L447"")"),0)</f>
        <v>0</v>
      </c>
      <c r="M552" s="166"/>
      <c r="N552" s="170">
        <f ca="1">IFERROR(__xludf.DUMMYFUNCTION("IMPORTRANGE(""https://docs.google.com/spreadsheets/d/1XL5vhW3sbDhbH9Cz0tuDiY8C3ctxq1tqvaCgkFb8cCA/edit?usp=sharing"",""กาฬสินธุ์!M447"")"),0)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IFERROR(__xludf.DUMMYFUNCTION("IMPORTRANGE(""https://docs.google.com/spreadsheets/d/1XL5vhW3sbDhbH9Cz0tuDiY8C3ctxq1tqvaCgkFb8cCA/edit?usp=sharing"",""กาฬสินธุ์!L448"")"),0)</f>
        <v>0</v>
      </c>
      <c r="M553" s="167"/>
      <c r="N553" s="170">
        <f ca="1">IFERROR(__xludf.DUMMYFUNCTION("IMPORTRANGE(""https://docs.google.com/spreadsheets/d/1XL5vhW3sbDhbH9Cz0tuDiY8C3ctxq1tqvaCgkFb8cCA/edit?usp=sharing"",""กาฬสินธุ์!M448"")"),0)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IFERROR(__xludf.DUMMYFUNCTION("IMPORTRANGE(""https://docs.google.com/spreadsheets/d/1XL5vhW3sbDhbH9Cz0tuDiY8C3ctxq1tqvaCgkFb8cCA/edit?usp=sharing"",""กาฬสินธุ์!L449"")"),0)</f>
        <v>0</v>
      </c>
      <c r="M554" s="170"/>
      <c r="N554" s="170">
        <f ca="1">IFERROR(__xludf.DUMMYFUNCTION("IMPORTRANGE(""https://docs.google.com/spreadsheets/d/1XL5vhW3sbDhbH9Cz0tuDiY8C3ctxq1tqvaCgkFb8cCA/edit?usp=sharing"",""กาฬสินธุ์!M449"")"),0)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IFERROR(__xludf.DUMMYFUNCTION("IMPORTRANGE(""https://docs.google.com/spreadsheets/d/1XL5vhW3sbDhbH9Cz0tuDiY8C3ctxq1tqvaCgkFb8cCA/edit?usp=sharing"",""กาฬสินธุ์!L450"")"),0)</f>
        <v>0</v>
      </c>
      <c r="M555" s="170"/>
      <c r="N555" s="170">
        <f ca="1">IFERROR(__xludf.DUMMYFUNCTION("IMPORTRANGE(""https://docs.google.com/spreadsheets/d/1XL5vhW3sbDhbH9Cz0tuDiY8C3ctxq1tqvaCgkFb8cCA/edit?usp=sharing"",""กาฬสินธุ์!M450"")"),0)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IFERROR(__xludf.DUMMYFUNCTION("IMPORTRANGE(""https://docs.google.com/spreadsheets/d/1XL5vhW3sbDhbH9Cz0tuDiY8C3ctxq1tqvaCgkFb8cCA/edit?usp=sharing"",""กาฬสินธุ์!M451"")"),0)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IFERROR(__xludf.DUMMYFUNCTION("IMPORTRANGE(""https://docs.google.com/spreadsheets/d/1XL5vhW3sbDhbH9Cz0tuDiY8C3ctxq1tqvaCgkFb8cCA/edit?usp=sharing"",""กาฬสินธุ์!M452"")"),0)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IFERROR(__xludf.DUMMYFUNCTION("IMPORTRANGE(""https://docs.google.com/spreadsheets/d/1XL5vhW3sbDhbH9Cz0tuDiY8C3ctxq1tqvaCgkFb8cCA/edit?usp=sharing"",""กาฬสินธุ์!M453"")"),0)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IFERROR(__xludf.DUMMYFUNCTION("IMPORTRANGE(""https://docs.google.com/spreadsheets/d/1XL5vhW3sbDhbH9Cz0tuDiY8C3ctxq1tqvaCgkFb8cCA/edit?usp=sharing"",""กาฬสินธุ์!M454"")"),0)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IFERROR(__xludf.DUMMYFUNCTION("IMPORTRANGE(""https://docs.google.com/spreadsheets/d/1XL5vhW3sbDhbH9Cz0tuDiY8C3ctxq1tqvaCgkFb8cCA/edit?usp=sharing"",""กาฬสินธุ์!I455"")"),0)</f>
        <v>0</v>
      </c>
      <c r="J560" s="164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IFERROR(__xludf.DUMMYFUNCTION("IMPORTRANGE(""https://docs.google.com/spreadsheets/d/1XL5vhW3sbDhbH9Cz0tuDiY8C3ctxq1tqvaCgkFb8cCA/edit?usp=sharing"",""กาฬสินธุ์!I456"")"),0)</f>
        <v>0</v>
      </c>
      <c r="J561" s="205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IFERROR(__xludf.DUMMYFUNCTION("IMPORTRANGE(""https://docs.google.com/spreadsheets/d/1XL5vhW3sbDhbH9Cz0tuDiY8C3ctxq1tqvaCgkFb8cCA/edit?usp=sharing"",""กาฬสินธุ์!I457"")"),0)</f>
        <v>0</v>
      </c>
      <c r="J562" s="205" t="str">
        <f ca="1">IFERROR(__xludf.DUMMYFUNCTION("IMPORTRANGE(""https://docs.google.com/spreadsheets/d/1XL5vhW3sbDhbH9Cz0tuDiY8C3ctxq1tqvaCgkFb8cCA/edit?usp=sharing"",""กาฬสินธุ์!J457"")"),"")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IFERROR(__xludf.DUMMYFUNCTION("IMPORTRANGE(""https://docs.google.com/spreadsheets/d/1XL5vhW3sbDhbH9Cz0tuDiY8C3ctxq1tqvaCgkFb8cCA/edit?usp=sharing"",""กาฬสินธุ์!I458"")"),0)</f>
        <v>0</v>
      </c>
      <c r="J563" s="189" t="str">
        <f ca="1">IFERROR(__xludf.DUMMYFUNCTION("IMPORTRANGE(""https://docs.google.com/spreadsheets/d/1XL5vhW3sbDhbH9Cz0tuDiY8C3ctxq1tqvaCgkFb8cCA/edit?usp=sharing"",""กาฬสินธุ์!J458"")"),"")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IFERROR(__xludf.DUMMYFUNCTION("IMPORTRANGE(""https://docs.google.com/spreadsheets/d/1XL5vhW3sbDhbH9Cz0tuDiY8C3ctxq1tqvaCgkFb8cCA/edit?usp=sharing"",""กาฬสินธุ์!J459"")"),1313)</f>
        <v>1313</v>
      </c>
      <c r="K564" s="372">
        <f t="shared" ca="1" si="121"/>
        <v>57.086956521739133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IFERROR(__xludf.DUMMYFUNCTION("IMPORTRANGE(""https://docs.google.com/spreadsheets/d/1XL5vhW3sbDhbH9Cz0tuDiY8C3ctxq1tqvaCgkFb8cCA/edit?usp=sharing"",""กาฬสินธุ์!M459"")"),46150)</f>
        <v>46150</v>
      </c>
      <c r="O564" s="373">
        <f t="shared" ref="O564:O568" ca="1" si="122">+IF(L564&gt;0,N564*100/L564,0)</f>
        <v>32.263702460850112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IFERROR(__xludf.DUMMYFUNCTION("IMPORTRANGE(""https://docs.google.com/spreadsheets/d/1XL5vhW3sbDhbH9Cz0tuDiY8C3ctxq1tqvaCgkFb8cCA/edit?usp=sharing"",""กาฬสินธุ์!L460"")"),0)</f>
        <v>0</v>
      </c>
      <c r="M565" s="166"/>
      <c r="N565" s="170">
        <f ca="1">IFERROR(__xludf.DUMMYFUNCTION("IMPORTRANGE(""https://docs.google.com/spreadsheets/d/1XL5vhW3sbDhbH9Cz0tuDiY8C3ctxq1tqvaCgkFb8cCA/edit?usp=sharing"",""กาฬสินธุ์!M460"")"),0)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IFERROR(__xludf.DUMMYFUNCTION("IMPORTRANGE(""https://docs.google.com/spreadsheets/d/1XL5vhW3sbDhbH9Cz0tuDiY8C3ctxq1tqvaCgkFb8cCA/edit?usp=sharing"",""กาฬสินธุ์!L461"")"),143040)</f>
        <v>143040</v>
      </c>
      <c r="M566" s="167"/>
      <c r="N566" s="170">
        <f ca="1">IFERROR(__xludf.DUMMYFUNCTION("IMPORTRANGE(""https://docs.google.com/spreadsheets/d/1XL5vhW3sbDhbH9Cz0tuDiY8C3ctxq1tqvaCgkFb8cCA/edit?usp=sharing"",""กาฬสินธุ์!M461"")"),46150)</f>
        <v>46150</v>
      </c>
      <c r="O566" s="170">
        <f t="shared" ca="1" si="122"/>
        <v>32.263702460850112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IFERROR(__xludf.DUMMYFUNCTION("IMPORTRANGE(""https://docs.google.com/spreadsheets/d/1XL5vhW3sbDhbH9Cz0tuDiY8C3ctxq1tqvaCgkFb8cCA/edit?usp=sharing"",""กาฬสินธุ์!L462"")"),0)</f>
        <v>0</v>
      </c>
      <c r="M567" s="170"/>
      <c r="N567" s="170">
        <f ca="1">IFERROR(__xludf.DUMMYFUNCTION("IMPORTRANGE(""https://docs.google.com/spreadsheets/d/1XL5vhW3sbDhbH9Cz0tuDiY8C3ctxq1tqvaCgkFb8cCA/edit?usp=sharing"",""กาฬสินธุ์!M462"")"),0)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IFERROR(__xludf.DUMMYFUNCTION("IMPORTRANGE(""https://docs.google.com/spreadsheets/d/1XL5vhW3sbDhbH9Cz0tuDiY8C3ctxq1tqvaCgkFb8cCA/edit?usp=sharing"",""กาฬสินธุ์!L463"")"),143040)</f>
        <v>143040</v>
      </c>
      <c r="M568" s="170"/>
      <c r="N568" s="170">
        <f ca="1">IFERROR(__xludf.DUMMYFUNCTION("IMPORTRANGE(""https://docs.google.com/spreadsheets/d/1XL5vhW3sbDhbH9Cz0tuDiY8C3ctxq1tqvaCgkFb8cCA/edit?usp=sharing"",""กาฬสินธุ์!M463"")"),46150)</f>
        <v>46150</v>
      </c>
      <c r="O568" s="170">
        <f t="shared" ca="1" si="122"/>
        <v>32.263702460850112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IFERROR(__xludf.DUMMYFUNCTION("IMPORTRANGE(""https://docs.google.com/spreadsheets/d/1XL5vhW3sbDhbH9Cz0tuDiY8C3ctxq1tqvaCgkFb8cCA/edit?usp=sharing"",""กาฬสินธุ์!M464"")"),0)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IFERROR(__xludf.DUMMYFUNCTION("IMPORTRANGE(""https://docs.google.com/spreadsheets/d/1XL5vhW3sbDhbH9Cz0tuDiY8C3ctxq1tqvaCgkFb8cCA/edit?usp=sharing"",""กาฬสินธุ์!M465"")"),0)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IFERROR(__xludf.DUMMYFUNCTION("IMPORTRANGE(""https://docs.google.com/spreadsheets/d/1XL5vhW3sbDhbH9Cz0tuDiY8C3ctxq1tqvaCgkFb8cCA/edit?usp=sharing"",""กาฬสินธุ์!M466"")"),31580)</f>
        <v>31580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IFERROR(__xludf.DUMMYFUNCTION("IMPORTRANGE(""https://docs.google.com/spreadsheets/d/1XL5vhW3sbDhbH9Cz0tuDiY8C3ctxq1tqvaCgkFb8cCA/edit?usp=sharing"",""กาฬสินธุ์!M467"")"),14570)</f>
        <v>14570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IFERROR(__xludf.DUMMYFUNCTION("IMPORTRANGE(""https://docs.google.com/spreadsheets/d/1XL5vhW3sbDhbH9Cz0tuDiY8C3ctxq1tqvaCgkFb8cCA/edit?usp=sharing"",""กาฬสินธุ์!J468"")"),1313)</f>
        <v>1313</v>
      </c>
      <c r="K573" s="203">
        <f ca="1">IF(I573&gt;0,J573*100/I573,0)</f>
        <v>57.086956521739133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IFERROR(__xludf.DUMMYFUNCTION("IMPORTRANGE(""https://docs.google.com/spreadsheets/d/1XL5vhW3sbDhbH9Cz0tuDiY8C3ctxq1tqvaCgkFb8cCA/edit?usp=sharing"",""กาฬสินธุ์!I470"")"),0)</f>
        <v>0</v>
      </c>
      <c r="J575" s="199">
        <f ca="1">IFERROR(__xludf.DUMMYFUNCTION("IMPORTRANGE(""https://docs.google.com/spreadsheets/d/1XL5vhW3sbDhbH9Cz0tuDiY8C3ctxq1tqvaCgkFb8cCA/edit?usp=sharing"",""กาฬสินธุ์!J470"")"),2)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IFERROR(__xludf.DUMMYFUNCTION("IMPORTRANGE(""https://docs.google.com/spreadsheets/d/1XL5vhW3sbDhbH9Cz0tuDiY8C3ctxq1tqvaCgkFb8cCA/edit?usp=sharing"",""กาฬสินธุ์!I471"")"),0)</f>
        <v>0</v>
      </c>
      <c r="J576" s="199">
        <f ca="1">IFERROR(__xludf.DUMMYFUNCTION("IMPORTRANGE(""https://docs.google.com/spreadsheets/d/1XL5vhW3sbDhbH9Cz0tuDiY8C3ctxq1tqvaCgkFb8cCA/edit?usp=sharing"",""กาฬสินธุ์!J471"")"),31)</f>
        <v>31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IFERROR(__xludf.DUMMYFUNCTION("IMPORTRANGE(""https://docs.google.com/spreadsheets/d/1XL5vhW3sbDhbH9Cz0tuDiY8C3ctxq1tqvaCgkFb8cCA/edit?usp=sharing"",""กาฬสินธุ์!I472"")"),0)</f>
        <v>0</v>
      </c>
      <c r="J577" s="190">
        <f ca="1">IFERROR(__xludf.DUMMYFUNCTION("IMPORTRANGE(""https://docs.google.com/spreadsheets/d/1XL5vhW3sbDhbH9Cz0tuDiY8C3ctxq1tqvaCgkFb8cCA/edit?usp=sharing"",""กาฬสินธุ์!J472"")"),1282)</f>
        <v>1282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IFERROR(__xludf.DUMMYFUNCTION("IMPORTRANGE(""https://docs.google.com/spreadsheets/d/1XL5vhW3sbDhbH9Cz0tuDiY8C3ctxq1tqvaCgkFb8cCA/edit?usp=sharing"",""กาฬสินธุ์!I473"")"),0)</f>
        <v>0</v>
      </c>
      <c r="J578" s="199">
        <f ca="1">IFERROR(__xludf.DUMMYFUNCTION("IMPORTRANGE(""https://docs.google.com/spreadsheets/d/1XL5vhW3sbDhbH9Cz0tuDiY8C3ctxq1tqvaCgkFb8cCA/edit?usp=sharing"",""กาฬสินธุ์!J473"")"),0)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IFERROR(__xludf.DUMMYFUNCTION("IMPORTRANGE(""https://docs.google.com/spreadsheets/d/1XL5vhW3sbDhbH9Cz0tuDiY8C3ctxq1tqvaCgkFb8cCA/edit?usp=sharing"",""กาฬสินธุ์!I474"")"),0)</f>
        <v>0</v>
      </c>
      <c r="J579" s="199">
        <f ca="1">IFERROR(__xludf.DUMMYFUNCTION("IMPORTRANGE(""https://docs.google.com/spreadsheets/d/1XL5vhW3sbDhbH9Cz0tuDiY8C3ctxq1tqvaCgkFb8cCA/edit?usp=sharing"",""กาฬสินธุ์!J474"")"),0)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IFERROR(__xludf.DUMMYFUNCTION("IMPORTRANGE(""https://docs.google.com/spreadsheets/d/1XL5vhW3sbDhbH9Cz0tuDiY8C3ctxq1tqvaCgkFb8cCA/edit?usp=sharing"",""กาฬสินธุ์!L476"")"),0)</f>
        <v>0</v>
      </c>
      <c r="M581" s="166"/>
      <c r="N581" s="170">
        <f ca="1">IFERROR(__xludf.DUMMYFUNCTION("IMPORTRANGE(""https://docs.google.com/spreadsheets/d/1XL5vhW3sbDhbH9Cz0tuDiY8C3ctxq1tqvaCgkFb8cCA/edit?usp=sharing"",""กาฬสินธุ์!M476"")"),0)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IFERROR(__xludf.DUMMYFUNCTION("IMPORTRANGE(""https://docs.google.com/spreadsheets/d/1XL5vhW3sbDhbH9Cz0tuDiY8C3ctxq1tqvaCgkFb8cCA/edit?usp=sharing"",""กาฬสินธุ์!L477"")"),148830)</f>
        <v>148830</v>
      </c>
      <c r="M582" s="167"/>
      <c r="N582" s="170">
        <f ca="1">IFERROR(__xludf.DUMMYFUNCTION("IMPORTRANGE(""https://docs.google.com/spreadsheets/d/1XL5vhW3sbDhbH9Cz0tuDiY8C3ctxq1tqvaCgkFb8cCA/edit?usp=sharing"",""กาฬสินธุ์!M477"")"),0)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IFERROR(__xludf.DUMMYFUNCTION("IMPORTRANGE(""https://docs.google.com/spreadsheets/d/1XL5vhW3sbDhbH9Cz0tuDiY8C3ctxq1tqvaCgkFb8cCA/edit?usp=sharing"",""กาฬสินธุ์!L478"")"),0)</f>
        <v>0</v>
      </c>
      <c r="M583" s="170"/>
      <c r="N583" s="170">
        <f ca="1">IFERROR(__xludf.DUMMYFUNCTION("IMPORTRANGE(""https://docs.google.com/spreadsheets/d/1XL5vhW3sbDhbH9Cz0tuDiY8C3ctxq1tqvaCgkFb8cCA/edit?usp=sharing"",""กาฬสินธุ์!M478"")"),0)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IFERROR(__xludf.DUMMYFUNCTION("IMPORTRANGE(""https://docs.google.com/spreadsheets/d/1XL5vhW3sbDhbH9Cz0tuDiY8C3ctxq1tqvaCgkFb8cCA/edit?usp=sharing"",""กาฬสินธุ์!L479"")"),148830)</f>
        <v>148830</v>
      </c>
      <c r="M584" s="170"/>
      <c r="N584" s="170">
        <f ca="1">IFERROR(__xludf.DUMMYFUNCTION("IMPORTRANGE(""https://docs.google.com/spreadsheets/d/1XL5vhW3sbDhbH9Cz0tuDiY8C3ctxq1tqvaCgkFb8cCA/edit?usp=sharing"",""กาฬสินธุ์!M479"")"),0)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IFERROR(__xludf.DUMMYFUNCTION("IMPORTRANGE(""https://docs.google.com/spreadsheets/d/1XL5vhW3sbDhbH9Cz0tuDiY8C3ctxq1tqvaCgkFb8cCA/edit?usp=sharing"",""กาฬสินธุ์!M480"")"),0)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IFERROR(__xludf.DUMMYFUNCTION("IMPORTRANGE(""https://docs.google.com/spreadsheets/d/1XL5vhW3sbDhbH9Cz0tuDiY8C3ctxq1tqvaCgkFb8cCA/edit?usp=sharing"",""กาฬสินธุ์!M481"")"),0)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IFERROR(__xludf.DUMMYFUNCTION("IMPORTRANGE(""https://docs.google.com/spreadsheets/d/1XL5vhW3sbDhbH9Cz0tuDiY8C3ctxq1tqvaCgkFb8cCA/edit?usp=sharing"",""กาฬสินธุ์!M482"")"),0)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IFERROR(__xludf.DUMMYFUNCTION("IMPORTRANGE(""https://docs.google.com/spreadsheets/d/1XL5vhW3sbDhbH9Cz0tuDiY8C3ctxq1tqvaCgkFb8cCA/edit?usp=sharing"",""กาฬสินธุ์!M483"")"),0)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IFERROR(__xludf.DUMMYFUNCTION("IMPORTRANGE(""https://docs.google.com/spreadsheets/d/1XL5vhW3sbDhbH9Cz0tuDiY8C3ctxq1tqvaCgkFb8cCA/edit?usp=sharing"",""กาฬสินธุ์!I484"")"),30)</f>
        <v>30</v>
      </c>
      <c r="J589" s="189">
        <f ca="1">IFERROR(__xludf.DUMMYFUNCTION("IMPORTRANGE(""https://docs.google.com/spreadsheets/d/1XL5vhW3sbDhbH9Cz0tuDiY8C3ctxq1tqvaCgkFb8cCA/edit?usp=sharing"",""กาฬสินธุ์!J484"")"),0)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9">
        <f ca="1">IFERROR(__xludf.DUMMYFUNCTION("IMPORTRANGE(""https://docs.google.com/spreadsheets/d/1XL5vhW3sbDhbH9Cz0tuDiY8C3ctxq1tqvaCgkFb8cCA/edit?usp=sharing"",""กาฬสินธุ์!J485"")"),0)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IFERROR(__xludf.DUMMYFUNCTION("IMPORTRANGE(""https://docs.google.com/spreadsheets/d/1XL5vhW3sbDhbH9Cz0tuDiY8C3ctxq1tqvaCgkFb8cCA/edit?usp=sharing"",""กาฬสินธุ์!I486"")"),30)</f>
        <v>30</v>
      </c>
      <c r="J591" s="189">
        <f ca="1">IFERROR(__xludf.DUMMYFUNCTION("IMPORTRANGE(""https://docs.google.com/spreadsheets/d/1XL5vhW3sbDhbH9Cz0tuDiY8C3ctxq1tqvaCgkFb8cCA/edit?usp=sharing"",""กาฬสินธุ์!J486"")"),4)</f>
        <v>4</v>
      </c>
      <c r="K591" s="165">
        <f t="shared" ca="1" si="125"/>
        <v>13.333333333333334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9">
        <f ca="1">IFERROR(__xludf.DUMMYFUNCTION("IMPORTRANGE(""https://docs.google.com/spreadsheets/d/1XL5vhW3sbDhbH9Cz0tuDiY8C3ctxq1tqvaCgkFb8cCA/edit?usp=sharing"",""กาฬสินธุ์!J487"")"),2.05)</f>
        <v>2.0499999999999998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IFERROR(__xludf.DUMMYFUNCTION("IMPORTRANGE(""https://docs.google.com/spreadsheets/d/1XL5vhW3sbDhbH9Cz0tuDiY8C3ctxq1tqvaCgkFb8cCA/edit?usp=sharing"",""กาฬสินธุ์!I488"")"),30)</f>
        <v>30</v>
      </c>
      <c r="J593" s="189">
        <f ca="1">IFERROR(__xludf.DUMMYFUNCTION("IMPORTRANGE(""https://docs.google.com/spreadsheets/d/1XL5vhW3sbDhbH9Cz0tuDiY8C3ctxq1tqvaCgkFb8cCA/edit?usp=sharing"",""กาฬสินธุ์!J488"")"),0)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9">
        <f ca="1">IFERROR(__xludf.DUMMYFUNCTION("IMPORTRANGE(""https://docs.google.com/spreadsheets/d/1XL5vhW3sbDhbH9Cz0tuDiY8C3ctxq1tqvaCgkFb8cCA/edit?usp=sharing"",""กาฬสินธุ์!J489"")"),0)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IFERROR(__xludf.DUMMYFUNCTION("IMPORTRANGE(""https://docs.google.com/spreadsheets/d/1XL5vhW3sbDhbH9Cz0tuDiY8C3ctxq1tqvaCgkFb8cCA/edit?usp=sharing"",""กาฬสินธุ์!I490"")"),30)</f>
        <v>30</v>
      </c>
      <c r="J595" s="189">
        <f ca="1">IFERROR(__xludf.DUMMYFUNCTION("IMPORTRANGE(""https://docs.google.com/spreadsheets/d/1XL5vhW3sbDhbH9Cz0tuDiY8C3ctxq1tqvaCgkFb8cCA/edit?usp=sharing"",""กาฬสินธุ์!J490"")"),0)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7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IFERROR(__xludf.DUMMYFUNCTION("IMPORTRANGE(""https://docs.google.com/spreadsheets/d/1XL5vhW3sbDhbH9Cz0tuDiY8C3ctxq1tqvaCgkFb8cCA/edit?usp=sharing"",""กาฬสินธุ์!L493"")"),0)</f>
        <v>0</v>
      </c>
      <c r="M598" s="166"/>
      <c r="N598" s="170">
        <f ca="1">IFERROR(__xludf.DUMMYFUNCTION("IMPORTRANGE(""https://docs.google.com/spreadsheets/d/1XL5vhW3sbDhbH9Cz0tuDiY8C3ctxq1tqvaCgkFb8cCA/edit?usp=sharing"",""กาฬสินธุ์!M493"")"),0)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IFERROR(__xludf.DUMMYFUNCTION("IMPORTRANGE(""https://docs.google.com/spreadsheets/d/1XL5vhW3sbDhbH9Cz0tuDiY8C3ctxq1tqvaCgkFb8cCA/edit?usp=sharing"",""กาฬสินธุ์!L494"")"),4550)</f>
        <v>4550</v>
      </c>
      <c r="M599" s="167"/>
      <c r="N599" s="170">
        <f ca="1">IFERROR(__xludf.DUMMYFUNCTION("IMPORTRANGE(""https://docs.google.com/spreadsheets/d/1XL5vhW3sbDhbH9Cz0tuDiY8C3ctxq1tqvaCgkFb8cCA/edit?usp=sharing"",""กาฬสินธุ์!M494"")"),1400)</f>
        <v>1400</v>
      </c>
      <c r="O599" s="170">
        <f t="shared" ca="1" si="126"/>
        <v>30.76923076923077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IFERROR(__xludf.DUMMYFUNCTION("IMPORTRANGE(""https://docs.google.com/spreadsheets/d/1XL5vhW3sbDhbH9Cz0tuDiY8C3ctxq1tqvaCgkFb8cCA/edit?usp=sharing"",""กาฬสินธุ์!L495"")"),0)</f>
        <v>0</v>
      </c>
      <c r="M600" s="170"/>
      <c r="N600" s="170">
        <f ca="1">IFERROR(__xludf.DUMMYFUNCTION("IMPORTRANGE(""https://docs.google.com/spreadsheets/d/1XL5vhW3sbDhbH9Cz0tuDiY8C3ctxq1tqvaCgkFb8cCA/edit?usp=sharing"",""กาฬสินธุ์!M495"")"),0)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IFERROR(__xludf.DUMMYFUNCTION("IMPORTRANGE(""https://docs.google.com/spreadsheets/d/1XL5vhW3sbDhbH9Cz0tuDiY8C3ctxq1tqvaCgkFb8cCA/edit?usp=sharing"",""กาฬสินธุ์!L496"")"),4550)</f>
        <v>4550</v>
      </c>
      <c r="M601" s="170"/>
      <c r="N601" s="170">
        <f ca="1">IFERROR(__xludf.DUMMYFUNCTION("IMPORTRANGE(""https://docs.google.com/spreadsheets/d/1XL5vhW3sbDhbH9Cz0tuDiY8C3ctxq1tqvaCgkFb8cCA/edit?usp=sharing"",""กาฬสินธุ์!M496"")"),1400)</f>
        <v>1400</v>
      </c>
      <c r="O601" s="170">
        <f t="shared" ca="1" si="126"/>
        <v>30.76923076923077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IFERROR(__xludf.DUMMYFUNCTION("IMPORTRANGE(""https://docs.google.com/spreadsheets/d/1XL5vhW3sbDhbH9Cz0tuDiY8C3ctxq1tqvaCgkFb8cCA/edit?usp=sharing"",""กาฬสินธุ์!M497"")"),0)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IFERROR(__xludf.DUMMYFUNCTION("IMPORTRANGE(""https://docs.google.com/spreadsheets/d/1XL5vhW3sbDhbH9Cz0tuDiY8C3ctxq1tqvaCgkFb8cCA/edit?usp=sharing"",""กาฬสินธุ์!M498"")"),0)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IFERROR(__xludf.DUMMYFUNCTION("IMPORTRANGE(""https://docs.google.com/spreadsheets/d/1XL5vhW3sbDhbH9Cz0tuDiY8C3ctxq1tqvaCgkFb8cCA/edit?usp=sharing"",""กาฬสินธุ์!J502"")"),0)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IFERROR(__xludf.DUMMYFUNCTION("IMPORTRANGE(""https://docs.google.com/spreadsheets/d/1XL5vhW3sbDhbH9Cz0tuDiY8C3ctxq1tqvaCgkFb8cCA/edit?usp=sharing"",""กาฬสินธุ์!J503"")"),1)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IFERROR(__xludf.DUMMYFUNCTION("IMPORTRANGE(""https://docs.google.com/spreadsheets/d/1XL5vhW3sbDhbH9Cz0tuDiY8C3ctxq1tqvaCgkFb8cCA/edit?usp=sharing"",""กาฬสินธุ์!I506"")"),50)</f>
        <v>50</v>
      </c>
      <c r="J611" s="164">
        <f ca="1">IFERROR(__xludf.DUMMYFUNCTION("IMPORTRANGE(""https://docs.google.com/spreadsheets/d/1XL5vhW3sbDhbH9Cz0tuDiY8C3ctxq1tqvaCgkFb8cCA/edit?usp=sharing"",""กาฬสินธุ์!J506"")"),0)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IFERROR(__xludf.DUMMYFUNCTION("IMPORTRANGE(""https://docs.google.com/spreadsheets/d/1XL5vhW3sbDhbH9Cz0tuDiY8C3ctxq1tqvaCgkFb8cCA/edit?usp=sharing"",""กาฬสินธุ์!I507"")"),0)</f>
        <v>0</v>
      </c>
      <c r="J612" s="199">
        <f ca="1">IFERROR(__xludf.DUMMYFUNCTION("IMPORTRANGE(""https://docs.google.com/spreadsheets/d/1XL5vhW3sbDhbH9Cz0tuDiY8C3ctxq1tqvaCgkFb8cCA/edit?usp=sharing"",""กาฬสินธุ์!J507"")"),0)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IFERROR(__xludf.DUMMYFUNCTION("IMPORTRANGE(""https://docs.google.com/spreadsheets/d/1XL5vhW3sbDhbH9Cz0tuDiY8C3ctxq1tqvaCgkFb8cCA/edit?usp=sharing"",""กาฬสินธุ์!I508"")"),0)</f>
        <v>0</v>
      </c>
      <c r="J613" s="199">
        <f ca="1">IFERROR(__xludf.DUMMYFUNCTION("IMPORTRANGE(""https://docs.google.com/spreadsheets/d/1XL5vhW3sbDhbH9Cz0tuDiY8C3ctxq1tqvaCgkFb8cCA/edit?usp=sharing"",""กาฬสินธุ์!J508"")"),0)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IFERROR(__xludf.DUMMYFUNCTION("IMPORTRANGE(""https://docs.google.com/spreadsheets/d/1XL5vhW3sbDhbH9Cz0tuDiY8C3ctxq1tqvaCgkFb8cCA/edit?usp=sharing"",""กาฬสินธุ์!I509"")"),0)</f>
        <v>0</v>
      </c>
      <c r="J614" s="199">
        <f ca="1">IFERROR(__xludf.DUMMYFUNCTION("IMPORTRANGE(""https://docs.google.com/spreadsheets/d/1XL5vhW3sbDhbH9Cz0tuDiY8C3ctxq1tqvaCgkFb8cCA/edit?usp=sharing"",""กาฬสินธุ์!J509"")"),0)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IFERROR(__xludf.DUMMYFUNCTION("IMPORTRANGE(""https://docs.google.com/spreadsheets/d/1XL5vhW3sbDhbH9Cz0tuDiY8C3ctxq1tqvaCgkFb8cCA/edit?usp=sharing"",""กาฬสินธุ์!I510"")"),0)</f>
        <v>0</v>
      </c>
      <c r="J615" s="199">
        <f ca="1">IFERROR(__xludf.DUMMYFUNCTION("IMPORTRANGE(""https://docs.google.com/spreadsheets/d/1XL5vhW3sbDhbH9Cz0tuDiY8C3ctxq1tqvaCgkFb8cCA/edit?usp=sharing"",""กาฬสินธุ์!J510"")"),0)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IFERROR(__xludf.DUMMYFUNCTION("IMPORTRANGE(""https://docs.google.com/spreadsheets/d/1XL5vhW3sbDhbH9Cz0tuDiY8C3ctxq1tqvaCgkFb8cCA/edit?usp=sharing"",""กาฬสินธุ์!I511"")"),0)</f>
        <v>0</v>
      </c>
      <c r="J616" s="199">
        <f ca="1">IFERROR(__xludf.DUMMYFUNCTION("IMPORTRANGE(""https://docs.google.com/spreadsheets/d/1XL5vhW3sbDhbH9Cz0tuDiY8C3ctxq1tqvaCgkFb8cCA/edit?usp=sharing"",""กาฬสินธุ์!J511"")"),0)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IFERROR(__xludf.DUMMYFUNCTION("IMPORTRANGE(""https://docs.google.com/spreadsheets/d/1XL5vhW3sbDhbH9Cz0tuDiY8C3ctxq1tqvaCgkFb8cCA/edit?usp=sharing"",""กาฬสินธุ์!I512"")"),0)</f>
        <v>0</v>
      </c>
      <c r="J617" s="189">
        <f ca="1">IFERROR(__xludf.DUMMYFUNCTION("IMPORTRANGE(""https://docs.google.com/spreadsheets/d/1XL5vhW3sbDhbH9Cz0tuDiY8C3ctxq1tqvaCgkFb8cCA/edit?usp=sharing"",""กาฬสินธุ์!J512"")"),0)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IFERROR(__xludf.DUMMYFUNCTION("IMPORTRANGE(""https://docs.google.com/spreadsheets/d/1XL5vhW3sbDhbH9Cz0tuDiY8C3ctxq1tqvaCgkFb8cCA/edit?usp=sharing"",""กาฬสินธุ์!I513"")"),0)</f>
        <v>0</v>
      </c>
      <c r="J618" s="190">
        <f ca="1">IFERROR(__xludf.DUMMYFUNCTION("IMPORTRANGE(""https://docs.google.com/spreadsheets/d/1XL5vhW3sbDhbH9Cz0tuDiY8C3ctxq1tqvaCgkFb8cCA/edit?usp=sharing"",""กาฬสินธุ์!J513"")"),0)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IFERROR(__xludf.DUMMYFUNCTION("IMPORTRANGE(""https://docs.google.com/spreadsheets/d/1XL5vhW3sbDhbH9Cz0tuDiY8C3ctxq1tqvaCgkFb8cCA/edit?usp=sharing"",""กาฬสินธุ์!I514"")"),0)</f>
        <v>0</v>
      </c>
      <c r="J619" s="190">
        <f ca="1">IFERROR(__xludf.DUMMYFUNCTION("IMPORTRANGE(""https://docs.google.com/spreadsheets/d/1XL5vhW3sbDhbH9Cz0tuDiY8C3ctxq1tqvaCgkFb8cCA/edit?usp=sharing"",""กาฬสินธุ์!J514"")"),0)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IFERROR(__xludf.DUMMYFUNCTION("IMPORTRANGE(""https://docs.google.com/spreadsheets/d/1XL5vhW3sbDhbH9Cz0tuDiY8C3ctxq1tqvaCgkFb8cCA/edit?usp=sharing"",""กาฬสินธุ์!I515"")"),0)</f>
        <v>0</v>
      </c>
      <c r="J620" s="204">
        <f ca="1">IFERROR(__xludf.DUMMYFUNCTION("IMPORTRANGE(""https://docs.google.com/spreadsheets/d/1XL5vhW3sbDhbH9Cz0tuDiY8C3ctxq1tqvaCgkFb8cCA/edit?usp=sharing"",""กาฬสินธุ์!J515"")"),0)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IFERROR(__xludf.DUMMYFUNCTION("IMPORTRANGE(""https://docs.google.com/spreadsheets/d/1XL5vhW3sbDhbH9Cz0tuDiY8C3ctxq1tqvaCgkFb8cCA/edit?usp=sharing"",""กาฬสินธุ์!I516"")"),0)</f>
        <v>0</v>
      </c>
      <c r="J621" s="204">
        <f ca="1">IFERROR(__xludf.DUMMYFUNCTION("IMPORTRANGE(""https://docs.google.com/spreadsheets/d/1XL5vhW3sbDhbH9Cz0tuDiY8C3ctxq1tqvaCgkFb8cCA/edit?usp=sharing"",""กาฬสินธุ์!J516"")"),0)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IFERROR(__xludf.DUMMYFUNCTION("IMPORTRANGE(""https://docs.google.com/spreadsheets/d/1XL5vhW3sbDhbH9Cz0tuDiY8C3ctxq1tqvaCgkFb8cCA/edit?usp=sharing"",""กาฬสินธุ์!I517"")"),0)</f>
        <v>0</v>
      </c>
      <c r="J622" s="190">
        <f ca="1">IFERROR(__xludf.DUMMYFUNCTION("IMPORTRANGE(""https://docs.google.com/spreadsheets/d/1XL5vhW3sbDhbH9Cz0tuDiY8C3ctxq1tqvaCgkFb8cCA/edit?usp=sharing"",""กาฬสินธุ์!J517"")"),0)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IFERROR(__xludf.DUMMYFUNCTION("IMPORTRANGE(""https://docs.google.com/spreadsheets/d/1XL5vhW3sbDhbH9Cz0tuDiY8C3ctxq1tqvaCgkFb8cCA/edit?usp=sharing"",""กาฬสินธุ์!I518"")"),0)</f>
        <v>0</v>
      </c>
      <c r="J623" s="190">
        <f ca="1">IFERROR(__xludf.DUMMYFUNCTION("IMPORTRANGE(""https://docs.google.com/spreadsheets/d/1XL5vhW3sbDhbH9Cz0tuDiY8C3ctxq1tqvaCgkFb8cCA/edit?usp=sharing"",""กาฬสินธุ์!J518"")"),0)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IFERROR(__xludf.DUMMYFUNCTION("IMPORTRANGE(""https://docs.google.com/spreadsheets/d/1XL5vhW3sbDhbH9Cz0tuDiY8C3ctxq1tqvaCgkFb8cCA/edit?usp=sharing"",""กาฬสินธุ์!I519"")"),0)</f>
        <v>0</v>
      </c>
      <c r="J624" s="189">
        <f ca="1">IFERROR(__xludf.DUMMYFUNCTION("IMPORTRANGE(""https://docs.google.com/spreadsheets/d/1XL5vhW3sbDhbH9Cz0tuDiY8C3ctxq1tqvaCgkFb8cCA/edit?usp=sharing"",""กาฬสินธุ์!J519"")"),0)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IFERROR(__xludf.DUMMYFUNCTION("IMPORTRANGE(""https://docs.google.com/spreadsheets/d/1XL5vhW3sbDhbH9Cz0tuDiY8C3ctxq1tqvaCgkFb8cCA/edit?usp=sharing"",""กาฬสินธุ์!I520"")"),0)</f>
        <v>0</v>
      </c>
      <c r="J625" s="190">
        <f ca="1">IFERROR(__xludf.DUMMYFUNCTION("IMPORTRANGE(""https://docs.google.com/spreadsheets/d/1XL5vhW3sbDhbH9Cz0tuDiY8C3ctxq1tqvaCgkFb8cCA/edit?usp=sharing"",""กาฬสินธุ์!J520"")"),0)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IFERROR(__xludf.DUMMYFUNCTION("IMPORTRANGE(""https://docs.google.com/spreadsheets/d/1XL5vhW3sbDhbH9Cz0tuDiY8C3ctxq1tqvaCgkFb8cCA/edit?usp=sharing"",""กาฬสินธุ์!I521"")"),0)</f>
        <v>0</v>
      </c>
      <c r="J626" s="190">
        <f ca="1">IFERROR(__xludf.DUMMYFUNCTION("IMPORTRANGE(""https://docs.google.com/spreadsheets/d/1XL5vhW3sbDhbH9Cz0tuDiY8C3ctxq1tqvaCgkFb8cCA/edit?usp=sharing"",""กาฬสินธุ์!J521"")"),0)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1">
        <f ca="1">IFERROR(__xludf.DUMMYFUNCTION("IMPORTRANGE(""https://docs.google.com/spreadsheets/d/1XL5vhW3sbDhbH9Cz0tuDiY8C3ctxq1tqvaCgkFb8cCA/edit?usp=sharing"",""กาฬสินธุ์!J523"")"),812189.15)</f>
        <v>812189.15</v>
      </c>
      <c r="K628" s="342">
        <f t="shared" ref="K628:K635" ca="1" si="129">IF(I628&gt;0,J628*100/I628,0)</f>
        <v>30.222961209088805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IFERROR(__xludf.DUMMYFUNCTION("IMPORTRANGE(""https://docs.google.com/spreadsheets/d/1XL5vhW3sbDhbH9Cz0tuDiY8C3ctxq1tqvaCgkFb8cCA/edit?usp=sharing"",""กาฬสินธุ์!I524"")"),180)</f>
        <v>180</v>
      </c>
      <c r="J629" s="341">
        <f ca="1">IFERROR(__xludf.DUMMYFUNCTION("IMPORTRANGE(""https://docs.google.com/spreadsheets/d/1XL5vhW3sbDhbH9Cz0tuDiY8C3ctxq1tqvaCgkFb8cCA/edit?usp=sharing"",""กาฬสินธุ์!J524"")"),43)</f>
        <v>43</v>
      </c>
      <c r="K629" s="342">
        <f t="shared" ca="1" si="129"/>
        <v>23.888888888888889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1">
        <f ca="1">IFERROR(__xludf.DUMMYFUNCTION("IMPORTRANGE(""https://docs.google.com/spreadsheets/d/1XL5vhW3sbDhbH9Cz0tuDiY8C3ctxq1tqvaCgkFb8cCA/edit?usp=sharing"",""กาฬสินธุ์!J525"")"),1379839.06)</f>
        <v>1379839.06</v>
      </c>
      <c r="K630" s="342">
        <f t="shared" ca="1" si="129"/>
        <v>10.328067828014913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IFERROR(__xludf.DUMMYFUNCTION("IMPORTRANGE(""https://docs.google.com/spreadsheets/d/1XL5vhW3sbDhbH9Cz0tuDiY8C3ctxq1tqvaCgkFb8cCA/edit?usp=sharing"",""กาฬสินธุ์!I526"")"),620)</f>
        <v>620</v>
      </c>
      <c r="J631" s="341">
        <f ca="1">IFERROR(__xludf.DUMMYFUNCTION("IMPORTRANGE(""https://docs.google.com/spreadsheets/d/1XL5vhW3sbDhbH9Cz0tuDiY8C3ctxq1tqvaCgkFb8cCA/edit?usp=sharing"",""กาฬสินธุ์!J526"")"),144)</f>
        <v>144</v>
      </c>
      <c r="K631" s="342">
        <f t="shared" ca="1" si="129"/>
        <v>23.225806451612904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1">
        <f ca="1">IFERROR(__xludf.DUMMYFUNCTION("IMPORTRANGE(""https://docs.google.com/spreadsheets/d/1XL5vhW3sbDhbH9Cz0tuDiY8C3ctxq1tqvaCgkFb8cCA/edit?usp=sharing"",""กาฬสินธุ์!J527"")"),48026.31)</f>
        <v>48026.31</v>
      </c>
      <c r="K632" s="342">
        <f t="shared" ca="1" si="129"/>
        <v>1.7850437610172107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IFERROR(__xludf.DUMMYFUNCTION("IMPORTRANGE(""https://docs.google.com/spreadsheets/d/1XL5vhW3sbDhbH9Cz0tuDiY8C3ctxq1tqvaCgkFb8cCA/edit?usp=sharing"",""กาฬสินธุ์!I528"")"),139)</f>
        <v>139</v>
      </c>
      <c r="J633" s="341">
        <f ca="1">IFERROR(__xludf.DUMMYFUNCTION("IMPORTRANGE(""https://docs.google.com/spreadsheets/d/1XL5vhW3sbDhbH9Cz0tuDiY8C3ctxq1tqvaCgkFb8cCA/edit?usp=sharing"",""กาฬสินธุ์!J528"")"),47)</f>
        <v>47</v>
      </c>
      <c r="K633" s="342">
        <f t="shared" ca="1" si="129"/>
        <v>33.812949640287769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IFERROR(__xludf.DUMMYFUNCTION("IMPORTRANGE(""https://docs.google.com/spreadsheets/d/1XL5vhW3sbDhbH9Cz0tuDiY8C3ctxq1tqvaCgkFb8cCA/edit?usp=sharing"",""กาฬสินธุ์!I529"")"),4000000)</f>
        <v>4000000</v>
      </c>
      <c r="J634" s="341">
        <f ca="1">IFERROR(__xludf.DUMMYFUNCTION("IMPORTRANGE(""https://docs.google.com/spreadsheets/d/1XL5vhW3sbDhbH9Cz0tuDiY8C3ctxq1tqvaCgkFb8cCA/edit?usp=sharing"",""กาฬสินธุ์!J529"")"),2640000)</f>
        <v>2640000</v>
      </c>
      <c r="K634" s="342">
        <f t="shared" ca="1" si="129"/>
        <v>66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IFERROR(__xludf.DUMMYFUNCTION("IMPORTRANGE(""https://docs.google.com/spreadsheets/d/1XL5vhW3sbDhbH9Cz0tuDiY8C3ctxq1tqvaCgkFb8cCA/edit?usp=sharing"",""กาฬสินธุ์!I530"")"),135)</f>
        <v>135</v>
      </c>
      <c r="J635" s="504">
        <f ca="1">IFERROR(__xludf.DUMMYFUNCTION("IMPORTRANGE(""https://docs.google.com/spreadsheets/d/1XL5vhW3sbDhbH9Cz0tuDiY8C3ctxq1tqvaCgkFb8cCA/edit?usp=sharing"",""กาฬสินธุ์!J530"")"),56)</f>
        <v>56</v>
      </c>
      <c r="K635" s="486">
        <f t="shared" ca="1" si="129"/>
        <v>41.481481481481481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8317961</v>
      </c>
      <c r="M8" s="23">
        <f t="shared" ca="1" si="0"/>
        <v>3021041</v>
      </c>
      <c r="N8" s="23">
        <f t="shared" ca="1" si="0"/>
        <v>3462668.96</v>
      </c>
      <c r="O8" s="22">
        <f t="shared" ref="O8:O16" ca="1" si="1">IF(L8&gt;0,N8*100/L8,0)</f>
        <v>41.628819370516403</v>
      </c>
      <c r="P8" s="22">
        <f t="shared" ref="P8:P16" ca="1" si="2">IF(M8&gt;0,N8*100/M8,0)</f>
        <v>114.61840339141375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8317961</v>
      </c>
      <c r="M10" s="30">
        <f t="shared" ca="1" si="4"/>
        <v>3021041</v>
      </c>
      <c r="N10" s="30">
        <f t="shared" ca="1" si="4"/>
        <v>3462668.96</v>
      </c>
      <c r="O10" s="29">
        <f t="shared" ca="1" si="1"/>
        <v>41.628819370516403</v>
      </c>
      <c r="P10" s="29">
        <f t="shared" ca="1" si="2"/>
        <v>114.61840339141375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8178961</v>
      </c>
      <c r="M12" s="38">
        <f t="shared" ca="1" si="6"/>
        <v>2882041</v>
      </c>
      <c r="N12" s="38">
        <f t="shared" ca="1" si="6"/>
        <v>3323668.96</v>
      </c>
      <c r="O12" s="38">
        <f t="shared" ca="1" si="1"/>
        <v>40.636811448300094</v>
      </c>
      <c r="P12" s="38">
        <f t="shared" ca="1" si="2"/>
        <v>115.32344473933577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5924861</v>
      </c>
      <c r="M14" s="38">
        <f t="shared" si="8"/>
        <v>0</v>
      </c>
      <c r="N14" s="38">
        <f t="shared" ca="1" si="8"/>
        <v>845693.96</v>
      </c>
      <c r="O14" s="38">
        <f t="shared" ca="1" si="1"/>
        <v>14.273650639230187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4967970</v>
      </c>
      <c r="M18" s="23">
        <f t="shared" ca="1" si="11"/>
        <v>3021041</v>
      </c>
      <c r="N18" s="23">
        <f t="shared" ca="1" si="11"/>
        <v>2616975</v>
      </c>
      <c r="O18" s="22">
        <f t="shared" ref="O18:O20" ca="1" si="12">IF(L18&gt;0,N18*100/L18,0)</f>
        <v>52.676948532297899</v>
      </c>
      <c r="P18" s="22">
        <f t="shared" ref="P18:P26" ca="1" si="13">IF(M18&gt;0,N18*100/M18,0)</f>
        <v>86.624941535053651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4967970</v>
      </c>
      <c r="M20" s="30">
        <f t="shared" ca="1" si="15"/>
        <v>3021041</v>
      </c>
      <c r="N20" s="30">
        <f t="shared" ca="1" si="15"/>
        <v>2616975</v>
      </c>
      <c r="O20" s="29">
        <f t="shared" ca="1" si="12"/>
        <v>52.676948532297899</v>
      </c>
      <c r="P20" s="29">
        <f t="shared" ca="1" si="13"/>
        <v>86.624941535053651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4828970</v>
      </c>
      <c r="M22" s="41">
        <f t="shared" ca="1" si="18"/>
        <v>2882041</v>
      </c>
      <c r="N22" s="38">
        <f t="shared" ca="1" si="18"/>
        <v>2477975</v>
      </c>
      <c r="O22" s="38">
        <f t="shared" ca="1" si="17"/>
        <v>51.314773129673618</v>
      </c>
      <c r="P22" s="38">
        <f t="shared" ca="1" si="13"/>
        <v>85.97986635165843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2574870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3349991</v>
      </c>
      <c r="M28" s="23">
        <f t="shared" si="23"/>
        <v>0</v>
      </c>
      <c r="N28" s="23">
        <f t="shared" ca="1" si="23"/>
        <v>845693.96</v>
      </c>
      <c r="O28" s="22">
        <f t="shared" ref="O28:O30" ca="1" si="24">IF(L28&gt;0,N28*100/L28,0)</f>
        <v>25.244663642379933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3349991</v>
      </c>
      <c r="M30" s="30">
        <f t="shared" si="27"/>
        <v>0</v>
      </c>
      <c r="N30" s="30">
        <f t="shared" ca="1" si="27"/>
        <v>845693.96</v>
      </c>
      <c r="O30" s="29">
        <f t="shared" ca="1" si="24"/>
        <v>25.244663642379933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3349991</v>
      </c>
      <c r="M32" s="38">
        <f t="shared" si="30"/>
        <v>0</v>
      </c>
      <c r="N32" s="38">
        <f t="shared" ca="1" si="30"/>
        <v>845693.96</v>
      </c>
      <c r="O32" s="38">
        <f t="shared" ca="1" si="29"/>
        <v>25.244663642379933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3349991</v>
      </c>
      <c r="M34" s="38">
        <f t="shared" si="32"/>
        <v>0</v>
      </c>
      <c r="N34" s="38">
        <f t="shared" ca="1" si="32"/>
        <v>845693.96</v>
      </c>
      <c r="O34" s="38">
        <f t="shared" ca="1" si="29"/>
        <v>25.244663642379933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4967970</v>
      </c>
      <c r="M37" s="54">
        <f t="shared" ca="1" si="33"/>
        <v>3021041</v>
      </c>
      <c r="N37" s="54">
        <f t="shared" ca="1" si="33"/>
        <v>2616975</v>
      </c>
      <c r="O37" s="55">
        <f t="shared" ca="1" si="29"/>
        <v>52.676948532297899</v>
      </c>
      <c r="P37" s="55">
        <f t="shared" ca="1" si="25"/>
        <v>86.624941535053651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424500</v>
      </c>
      <c r="N41" s="78">
        <f t="shared" ca="1" si="34"/>
        <v>383640</v>
      </c>
      <c r="O41" s="77">
        <f t="shared" ref="O41:O43" ca="1" si="35">IF(L41&gt;0,N41*100/L41,0)</f>
        <v>45.181957366623486</v>
      </c>
      <c r="P41" s="77">
        <f t="shared" ref="P41:P43" ca="1" si="36">IF(M41&gt;0,N41*100/M41,0)</f>
        <v>90.374558303886928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424500</v>
      </c>
      <c r="N43" s="78">
        <f t="shared" ca="1" si="38"/>
        <v>383640</v>
      </c>
      <c r="O43" s="77">
        <f t="shared" ca="1" si="35"/>
        <v>45.181957366623486</v>
      </c>
      <c r="P43" s="77">
        <f t="shared" ca="1" si="36"/>
        <v>90.374558303886928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533">
        <f ca="1">IFERROR(__xludf.DUMMYFUNCTION("IMPORTRANGE(""https://docs.google.com/spreadsheets/d/1Yj_ptqi66GCucihVvJfMjLAmec39IyEx_6qawtMGysU/edit?usp=sharing"",""สบก!Q56"")"),424500)</f>
        <v>424500</v>
      </c>
      <c r="N45" s="533">
        <f ca="1">IFERROR(__xludf.DUMMYFUNCTION("IMPORTRANGE(""https://docs.google.com/spreadsheets/d/1Yj_ptqi66GCucihVvJfMjLAmec39IyEx_6qawtMGysU/edit?usp=sharing"",""สบก!R56"")"),383640)</f>
        <v>383640</v>
      </c>
      <c r="O45" s="534">
        <f ca="1">IF(L45&gt;0,N45*100/L45,0)</f>
        <v>45.181957366623486</v>
      </c>
      <c r="P45" s="534">
        <f ca="1">IF(M45&gt;0,N45*100/M45,0)</f>
        <v>90.374558303886928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IFERROR(__xludf.DUMMYFUNCTION("IMPORTRANGE(""https://docs.google.com/spreadsheets/d/1Yj_ptqi66GCucihVvJfMjLAmec39IyEx_6qawtMGysU/edit?usp=sharing"",""สบก!M56"")"),849100)</f>
        <v>849100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IFERROR(__xludf.DUMMYFUNCTION("IMPORTRANGE(""https://docs.google.com/spreadsheets/d/1Yj_ptqi66GCucihVvJfMjLAmec39IyEx_6qawtMGysU/edit?usp=sharing"",""สบก!N56"")"),0)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IFERROR(__xludf.DUMMYFUNCTION("IMPORTRANGE(""https://docs.google.com/spreadsheets/d/1Yj_ptqi66GCucihVvJfMjLAmec39IyEx_6qawtMGysU/edit?usp=sharing"",""สบก!O56"")"),0)</f>
        <v>0</v>
      </c>
      <c r="M49" s="536"/>
      <c r="N49" s="533">
        <f ca="1">IFERROR(__xludf.DUMMYFUNCTION("IMPORTRANGE(""https://docs.google.com/spreadsheets/d/1Yj_ptqi66GCucihVvJfMjLAmec39IyEx_6qawtMGysU/edit?usp=sharing"",""สบก!S56"")"),0)</f>
        <v>0</v>
      </c>
      <c r="O49" s="536">
        <f ca="1">IF(L49&gt;0,N49*100/L49,0)</f>
        <v>0</v>
      </c>
      <c r="P49" s="53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334451</v>
      </c>
      <c r="N53" s="121">
        <f t="shared" ca="1" si="39"/>
        <v>328364</v>
      </c>
      <c r="O53" s="120">
        <f t="shared" ref="O53:O55" ca="1" si="40">IF(L53&gt;0,N53*100/L53,0)</f>
        <v>52.121269841269843</v>
      </c>
      <c r="P53" s="120">
        <f t="shared" ref="P53:P55" ca="1" si="41">IF(M53&gt;0,N53*100/M53,0)</f>
        <v>98.180002451779188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334451</v>
      </c>
      <c r="N55" s="121">
        <f t="shared" ca="1" si="43"/>
        <v>328364</v>
      </c>
      <c r="O55" s="120">
        <f t="shared" ca="1" si="40"/>
        <v>52.121269841269843</v>
      </c>
      <c r="P55" s="120">
        <f t="shared" ca="1" si="41"/>
        <v>98.180002451779188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533">
        <f ca="1">IFERROR(__xludf.DUMMYFUNCTION("IMPORTRANGE(""https://docs.google.com/spreadsheets/d/1Yj_ptqi66GCucihVvJfMjLAmec39IyEx_6qawtMGysU/edit?usp=sharing"",""สบก!Z56"")"),334451)</f>
        <v>334451</v>
      </c>
      <c r="N57" s="533">
        <f ca="1">IFERROR(__xludf.DUMMYFUNCTION("IMPORTRANGE(""https://docs.google.com/spreadsheets/d/1Yj_ptqi66GCucihVvJfMjLAmec39IyEx_6qawtMGysU/edit?usp=sharing"",""สบก!AA56"")"),328364)</f>
        <v>328364</v>
      </c>
      <c r="O57" s="534">
        <f ca="1">IF(L57&gt;0,N57*100/L57,0)</f>
        <v>52.121269841269843</v>
      </c>
      <c r="P57" s="534">
        <f ca="1">IF(M57&gt;0,N57*100/M57,0)</f>
        <v>98.180002451779188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IFERROR(__xludf.DUMMYFUNCTION("IMPORTRANGE(""https://docs.google.com/spreadsheets/d/1Yj_ptqi66GCucihVvJfMjLAmec39IyEx_6qawtMGysU/edit?usp=sharing"",""สบก!V56"")"),630000)</f>
        <v>630000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IFERROR(__xludf.DUMMYFUNCTION("IMPORTRANGE(""https://docs.google.com/spreadsheets/d/1Yj_ptqi66GCucihVvJfMjLAmec39IyEx_6qawtMGysU/edit?usp=sharing"",""สบก!W56"")"),0)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IFERROR(__xludf.DUMMYFUNCTION("IMPORTRANGE(""https://docs.google.com/spreadsheets/d/1Yj_ptqi66GCucihVvJfMjLAmec39IyEx_6qawtMGysU/edit?usp=sharing"",""สบก!X56"")"),0)</f>
        <v>0</v>
      </c>
      <c r="M61" s="536"/>
      <c r="N61" s="533">
        <f ca="1">IFERROR(__xludf.DUMMYFUNCTION("IMPORTRANGE(""https://docs.google.com/spreadsheets/d/1Yj_ptqi66GCucihVvJfMjLAmec39IyEx_6qawtMGysU/edit?usp=sharing"",""สบก!AB56"")"),0)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566120</v>
      </c>
      <c r="N66" s="152">
        <f t="shared" ca="1" si="45"/>
        <v>521007</v>
      </c>
      <c r="O66" s="151">
        <f t="shared" ref="O66:O68" ca="1" si="46">IF(L66&gt;0,N66*100/L66,0)</f>
        <v>49.198016997167137</v>
      </c>
      <c r="P66" s="151">
        <f t="shared" ref="P66:P68" ca="1" si="47">IF(M66&gt;0,N66*100/M66,0)</f>
        <v>92.031194799689118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566120</v>
      </c>
      <c r="N68" s="157">
        <f t="shared" ca="1" si="49"/>
        <v>521007</v>
      </c>
      <c r="O68" s="156">
        <f t="shared" ca="1" si="46"/>
        <v>49.198016997167137</v>
      </c>
      <c r="P68" s="156">
        <f t="shared" ca="1" si="47"/>
        <v>92.031194799689118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1059000</v>
      </c>
      <c r="M70" s="537">
        <f ca="1">IFERROR(__xludf.DUMMYFUNCTION("IMPORTRANGE(""https://docs.google.com/spreadsheets/d/1Yj_ptqi66GCucihVvJfMjLAmec39IyEx_6qawtMGysU/edit?usp=sharing"",""สบก!AI56"")"),566120)</f>
        <v>566120</v>
      </c>
      <c r="N70" s="538">
        <f ca="1">IFERROR(__xludf.DUMMYFUNCTION("IMPORTRANGE(""https://docs.google.com/spreadsheets/d/1Yj_ptqi66GCucihVvJfMjLAmec39IyEx_6qawtMGysU/edit?usp=sharing"",""สบก!AJ56"")"),521007)</f>
        <v>521007</v>
      </c>
      <c r="O70" s="170">
        <f ca="1">IF(L70&gt;0,N70*100/L70,0)</f>
        <v>49.198016997167137</v>
      </c>
      <c r="P70" s="170">
        <f ca="1">IF(M70&gt;0,N70*100/M70,0)</f>
        <v>92.031194799689118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IFERROR(__xludf.DUMMYFUNCTION("IMPORTRANGE(""https://docs.google.com/spreadsheets/d/1Yj_ptqi66GCucihVvJfMjLAmec39IyEx_6qawtMGysU/edit?usp=sharing"",""สบก!AE56"")"),469000)</f>
        <v>469000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IFERROR(__xludf.DUMMYFUNCTION("IMPORTRANGE(""https://docs.google.com/spreadsheets/d/1Yj_ptqi66GCucihVvJfMjLAmec39IyEx_6qawtMGysU/edit?usp=sharing"",""สบก!AF56"")"),590000)</f>
        <v>590000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IFERROR(__xludf.DUMMYFUNCTION("IMPORTRANGE(""https://docs.google.com/spreadsheets/d/1Yj_ptqi66GCucihVvJfMjLAmec39IyEx_6qawtMGysU/edit?usp=sharing"",""สบก!AG56"")"),0)</f>
        <v>0</v>
      </c>
      <c r="M74" s="536"/>
      <c r="N74" s="533">
        <f ca="1">IFERROR(__xludf.DUMMYFUNCTION("IMPORTRANGE(""https://docs.google.com/spreadsheets/d/1Yj_ptqi66GCucihVvJfMjLAmec39IyEx_6qawtMGysU/edit?usp=sharing"",""สบก!AK56"")"),0)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IFERROR(__xludf.DUMMYFUNCTION("IMPORTRANGE(""https://docs.google.com/spreadsheets/d/1XL5vhW3sbDhbH9Cz0tuDiY8C3ctxq1tqvaCgkFb8cCA/edit?usp=sharing"",""อุดรธานี!J16"")"),0)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IFERROR(__xludf.DUMMYFUNCTION("IMPORTRANGE(""https://docs.google.com/spreadsheets/d/1XL5vhW3sbDhbH9Cz0tuDiY8C3ctxq1tqvaCgkFb8cCA/edit?usp=sharing"",""อุดรธานี!J17"")"),1)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IFERROR(__xludf.DUMMYFUNCTION("IMPORTRANGE(""https://docs.google.com/spreadsheets/d/1XL5vhW3sbDhbH9Cz0tuDiY8C3ctxq1tqvaCgkFb8cCA/edit?usp=sharing"",""อุดรธานี!J18"")"),1)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IFERROR(__xludf.DUMMYFUNCTION("IMPORTRANGE(""https://docs.google.com/spreadsheets/d/1XL5vhW3sbDhbH9Cz0tuDiY8C3ctxq1tqvaCgkFb8cCA/edit?usp=sharing"",""อุดรธานี!J19"")"),1)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IFERROR(__xludf.DUMMYFUNCTION("IMPORTRANGE(""https://docs.google.com/spreadsheets/d/1XL5vhW3sbDhbH9Cz0tuDiY8C3ctxq1tqvaCgkFb8cCA/edit?usp=sharing"",""อุดรธานี!I20"")"),1)</f>
        <v>1</v>
      </c>
      <c r="J80" s="202">
        <f ca="1">IFERROR(__xludf.DUMMYFUNCTION("IMPORTRANGE(""https://docs.google.com/spreadsheets/d/1XL5vhW3sbDhbH9Cz0tuDiY8C3ctxq1tqvaCgkFb8cCA/edit?usp=sharing"",""อุดรธานี!J20"")"),1)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IFERROR(__xludf.DUMMYFUNCTION("IMPORTRANGE(""https://docs.google.com/spreadsheets/d/1XL5vhW3sbDhbH9Cz0tuDiY8C3ctxq1tqvaCgkFb8cCA/edit?usp=sharing"",""อุดรธานี!I21"")"),70)</f>
        <v>70</v>
      </c>
      <c r="J81" s="202">
        <f ca="1">IFERROR(__xludf.DUMMYFUNCTION("IMPORTRANGE(""https://docs.google.com/spreadsheets/d/1XL5vhW3sbDhbH9Cz0tuDiY8C3ctxq1tqvaCgkFb8cCA/edit?usp=sharing"",""อุดรธานี!J21"")"),70)</f>
        <v>70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IFERROR(__xludf.DUMMYFUNCTION("IMPORTRANGE(""https://docs.google.com/spreadsheets/d/1XL5vhW3sbDhbH9Cz0tuDiY8C3ctxq1tqvaCgkFb8cCA/edit?usp=sharing"",""อุดรธานี!I22"")"),1)</f>
        <v>1</v>
      </c>
      <c r="J82" s="205">
        <f ca="1">IFERROR(__xludf.DUMMYFUNCTION("IMPORTRANGE(""https://docs.google.com/spreadsheets/d/1XL5vhW3sbDhbH9Cz0tuDiY8C3ctxq1tqvaCgkFb8cCA/edit?usp=sharing"",""อุดรธานี!J22"")"),1)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IFERROR(__xludf.DUMMYFUNCTION("IMPORTRANGE(""https://docs.google.com/spreadsheets/d/1XL5vhW3sbDhbH9Cz0tuDiY8C3ctxq1tqvaCgkFb8cCA/edit?usp=sharing"",""อุดรธานี!I23"")"),70)</f>
        <v>70</v>
      </c>
      <c r="J83" s="205">
        <f ca="1">IFERROR(__xludf.DUMMYFUNCTION("IMPORTRANGE(""https://docs.google.com/spreadsheets/d/1XL5vhW3sbDhbH9Cz0tuDiY8C3ctxq1tqvaCgkFb8cCA/edit?usp=sharing"",""อุดรธานี!J23"")"),70)</f>
        <v>70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IFERROR(__xludf.DUMMYFUNCTION("IMPORTRANGE(""https://docs.google.com/spreadsheets/d/1XL5vhW3sbDhbH9Cz0tuDiY8C3ctxq1tqvaCgkFb8cCA/edit?usp=sharing"",""อุดรธานี!I24"")"),0)</f>
        <v>0</v>
      </c>
      <c r="J84" s="190">
        <f ca="1">IFERROR(__xludf.DUMMYFUNCTION("IMPORTRANGE(""https://docs.google.com/spreadsheets/d/1XL5vhW3sbDhbH9Cz0tuDiY8C3ctxq1tqvaCgkFb8cCA/edit?usp=sharing"",""อุดรธานี!J24"")"),0)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IFERROR(__xludf.DUMMYFUNCTION("IMPORTRANGE(""https://docs.google.com/spreadsheets/d/1XL5vhW3sbDhbH9Cz0tuDiY8C3ctxq1tqvaCgkFb8cCA/edit?usp=sharing"",""อุดรธานี!I25"")"),0)</f>
        <v>0</v>
      </c>
      <c r="J85" s="190">
        <f ca="1">IFERROR(__xludf.DUMMYFUNCTION("IMPORTRANGE(""https://docs.google.com/spreadsheets/d/1XL5vhW3sbDhbH9Cz0tuDiY8C3ctxq1tqvaCgkFb8cCA/edit?usp=sharing"",""อุดรธานี!J25"")"),0)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IFERROR(__xludf.DUMMYFUNCTION("IMPORTRANGE(""https://docs.google.com/spreadsheets/d/1XL5vhW3sbDhbH9Cz0tuDiY8C3ctxq1tqvaCgkFb8cCA/edit?usp=sharing"",""อุดรธานี!I26"")"),0)</f>
        <v>0</v>
      </c>
      <c r="J86" s="205">
        <f ca="1">IFERROR(__xludf.DUMMYFUNCTION("IMPORTRANGE(""https://docs.google.com/spreadsheets/d/1XL5vhW3sbDhbH9Cz0tuDiY8C3ctxq1tqvaCgkFb8cCA/edit?usp=sharing"",""อุดรธานี!J26"")"),0)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IFERROR(__xludf.DUMMYFUNCTION("IMPORTRANGE(""https://docs.google.com/spreadsheets/d/1XL5vhW3sbDhbH9Cz0tuDiY8C3ctxq1tqvaCgkFb8cCA/edit?usp=sharing"",""อุดรธานี!I27"")"),0)</f>
        <v>0</v>
      </c>
      <c r="J87" s="205">
        <f ca="1">IFERROR(__xludf.DUMMYFUNCTION("IMPORTRANGE(""https://docs.google.com/spreadsheets/d/1XL5vhW3sbDhbH9Cz0tuDiY8C3ctxq1tqvaCgkFb8cCA/edit?usp=sharing"",""อุดรธานี!J27"")"),0)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IFERROR(__xludf.DUMMYFUNCTION("IMPORTRANGE(""https://docs.google.com/spreadsheets/d/1XL5vhW3sbDhbH9Cz0tuDiY8C3ctxq1tqvaCgkFb8cCA/edit?usp=sharing"",""อุดรธานี!I28"")"),70)</f>
        <v>70</v>
      </c>
      <c r="J88" s="205">
        <f ca="1">IFERROR(__xludf.DUMMYFUNCTION("IMPORTRANGE(""https://docs.google.com/spreadsheets/d/1XL5vhW3sbDhbH9Cz0tuDiY8C3ctxq1tqvaCgkFb8cCA/edit?usp=sharing"",""อุดรธานี!J28"")"),0)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IFERROR(__xludf.DUMMYFUNCTION("IMPORTRANGE(""https://docs.google.com/spreadsheets/d/1XL5vhW3sbDhbH9Cz0tuDiY8C3ctxq1tqvaCgkFb8cCA/edit?usp=sharing"",""อุดรธานี!J29"")"),0)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IFERROR(__xludf.DUMMYFUNCTION("IMPORTRANGE(""https://docs.google.com/spreadsheets/d/1XL5vhW3sbDhbH9Cz0tuDiY8C3ctxq1tqvaCgkFb8cCA/edit?usp=sharing"",""อุดรธานี!J30"")"),0)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IFERROR(__xludf.DUMMYFUNCTION("IMPORTRANGE(""https://docs.google.com/spreadsheets/d/1Yj_ptqi66GCucihVvJfMjLAmec39IyEx_6qawtMGysU/edit?usp=sharing"",""สบก!AR56"")"),0)</f>
        <v>0</v>
      </c>
      <c r="N98" s="538">
        <f ca="1">IFERROR(__xludf.DUMMYFUNCTION("IMPORTRANGE(""https://docs.google.com/spreadsheets/d/1Yj_ptqi66GCucihVvJfMjLAmec39IyEx_6qawtMGysU/edit?usp=sharing"",""สบก!AS56"")"),0)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IFERROR(__xludf.DUMMYFUNCTION("IMPORTRANGE(""https://docs.google.com/spreadsheets/d/1Yj_ptqi66GCucihVvJfMjLAmec39IyEx_6qawtMGysU/edit?usp=sharing"",""สบก!AN56"")"),0)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IFERROR(__xludf.DUMMYFUNCTION("IMPORTRANGE(""https://docs.google.com/spreadsheets/d/1Yj_ptqi66GCucihVvJfMjLAmec39IyEx_6qawtMGysU/edit?usp=sharing"",""สบก!AO56"")"),0)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IFERROR(__xludf.DUMMYFUNCTION("IMPORTRANGE(""https://docs.google.com/spreadsheets/d/1Yj_ptqi66GCucihVvJfMjLAmec39IyEx_6qawtMGysU/edit?usp=sharing"",""สบก!AP56"")"),0)</f>
        <v>0</v>
      </c>
      <c r="M102" s="536"/>
      <c r="N102" s="533">
        <f ca="1">IFERROR(__xludf.DUMMYFUNCTION("IMPORTRANGE(""https://docs.google.com/spreadsheets/d/1Yj_ptqi66GCucihVvJfMjLAmec39IyEx_6qawtMGysU/edit?usp=sharing"",""สบก!AT56"")"),0)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IFERROR(__xludf.DUMMYFUNCTION("IMPORTRANGE(""https://docs.google.com/spreadsheets/d/1XL5vhW3sbDhbH9Cz0tuDiY8C3ctxq1tqvaCgkFb8cCA/edit?usp=sharing"",""อุดรธานี!I43"")"),0)</f>
        <v>0</v>
      </c>
      <c r="J108" s="205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IFERROR(__xludf.DUMMYFUNCTION("IMPORTRANGE(""https://docs.google.com/spreadsheets/d/1XL5vhW3sbDhbH9Cz0tuDiY8C3ctxq1tqvaCgkFb8cCA/edit?usp=sharing"",""อุดรธานี!I44"")"),0)</f>
        <v>0</v>
      </c>
      <c r="J109" s="205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IFERROR(__xludf.DUMMYFUNCTION("IMPORTRANGE(""https://docs.google.com/spreadsheets/d/1XL5vhW3sbDhbH9Cz0tuDiY8C3ctxq1tqvaCgkFb8cCA/edit?usp=sharing"",""อุดรธานี!I45"")"),0)</f>
        <v>0</v>
      </c>
      <c r="J110" s="205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IFERROR(__xludf.DUMMYFUNCTION("IMPORTRANGE(""https://docs.google.com/spreadsheets/d/1XL5vhW3sbDhbH9Cz0tuDiY8C3ctxq1tqvaCgkFb8cCA/edit?usp=sharing"",""อุดรธานี!I46"")"),0)</f>
        <v>0</v>
      </c>
      <c r="J111" s="205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IFERROR(__xludf.DUMMYFUNCTION("IMPORTRANGE(""https://docs.google.com/spreadsheets/d/1XL5vhW3sbDhbH9Cz0tuDiY8C3ctxq1tqvaCgkFb8cCA/edit?usp=sharing"",""อุดรธานี!I47"")"),0)</f>
        <v>0</v>
      </c>
      <c r="J112" s="205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IFERROR(__xludf.DUMMYFUNCTION("IMPORTRANGE(""https://docs.google.com/spreadsheets/d/1XL5vhW3sbDhbH9Cz0tuDiY8C3ctxq1tqvaCgkFb8cCA/edit?usp=sharing"",""อุดรธานี!I48"")"),0)</f>
        <v>0</v>
      </c>
      <c r="J113" s="205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IFERROR(__xludf.DUMMYFUNCTION("IMPORTRANGE(""https://docs.google.com/spreadsheets/d/1XL5vhW3sbDhbH9Cz0tuDiY8C3ctxq1tqvaCgkFb8cCA/edit?usp=sharing"",""อุดรธานี!J52"")"),1)</f>
        <v>1</v>
      </c>
      <c r="K117" s="143">
        <f ca="1">IF(I117&gt;0,J117*100/I117,0)</f>
        <v>5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45283</v>
      </c>
      <c r="O118" s="151">
        <f t="shared" ref="O118:O120" ca="1" si="59">IF(L118&gt;0,N118*100/L118,0)</f>
        <v>54.928432799611841</v>
      </c>
      <c r="P118" s="151">
        <f t="shared" ref="P118:P120" ca="1" si="60">IF(M118&gt;0,N118*100/M118,0)</f>
        <v>68.156231186032514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45283</v>
      </c>
      <c r="O120" s="156">
        <f t="shared" ca="1" si="59"/>
        <v>54.928432799611841</v>
      </c>
      <c r="P120" s="156">
        <f t="shared" ca="1" si="60"/>
        <v>68.156231186032514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IFERROR(__xludf.DUMMYFUNCTION("IMPORTRANGE(""https://docs.google.com/spreadsheets/d/1Yj_ptqi66GCucihVvJfMjLAmec39IyEx_6qawtMGysU/edit?usp=sharing"",""สบก!BA56"")"),66440)</f>
        <v>66440</v>
      </c>
      <c r="N122" s="538">
        <f ca="1">IFERROR(__xludf.DUMMYFUNCTION("IMPORTRANGE(""https://docs.google.com/spreadsheets/d/1Yj_ptqi66GCucihVvJfMjLAmec39IyEx_6qawtMGysU/edit?usp=sharing"",""สบก!BB56"")"),45283)</f>
        <v>45283</v>
      </c>
      <c r="O122" s="170">
        <f ca="1">IF(L122&gt;0,N122*100/L122,0)</f>
        <v>54.928432799611841</v>
      </c>
      <c r="P122" s="170">
        <f ca="1">IF(M122&gt;0,N122*100/M122,0)</f>
        <v>68.156231186032514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IFERROR(__xludf.DUMMYFUNCTION("IMPORTRANGE(""https://docs.google.com/spreadsheets/d/1Yj_ptqi66GCucihVvJfMjLAmec39IyEx_6qawtMGysU/edit?usp=sharing"",""สบก!AW56"")"),0)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IFERROR(__xludf.DUMMYFUNCTION("IMPORTRANGE(""https://docs.google.com/spreadsheets/d/1Yj_ptqi66GCucihVvJfMjLAmec39IyEx_6qawtMGysU/edit?usp=sharing"",""สบก!AX56"")"),82440)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IFERROR(__xludf.DUMMYFUNCTION("IMPORTRANGE(""https://docs.google.com/spreadsheets/d/1Yj_ptqi66GCucihVvJfMjLAmec39IyEx_6qawtMGysU/edit?usp=sharing"",""สบก!AY56"")"),0)</f>
        <v>0</v>
      </c>
      <c r="M126" s="536"/>
      <c r="N126" s="533">
        <f ca="1">IFERROR(__xludf.DUMMYFUNCTION("IMPORTRANGE(""https://docs.google.com/spreadsheets/d/1Yj_ptqi66GCucihVvJfMjLAmec39IyEx_6qawtMGysU/edit?usp=sharing"",""สบก!BC56"")"),0)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275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IFERROR(__xludf.DUMMYFUNCTION("IMPORTRANGE(""https://docs.google.com/spreadsheets/d/1XL5vhW3sbDhbH9Cz0tuDiY8C3ctxq1tqvaCgkFb8cCA/edit?usp=sharing"",""อุดรธานี!J60"")"),0)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IFERROR(__xludf.DUMMYFUNCTION("IMPORTRANGE(""https://docs.google.com/spreadsheets/d/1XL5vhW3sbDhbH9Cz0tuDiY8C3ctxq1tqvaCgkFb8cCA/edit?usp=sharing"",""อุดรธานี!J61"")"),0)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IFERROR(__xludf.DUMMYFUNCTION("IMPORTRANGE(""https://docs.google.com/spreadsheets/d/1XL5vhW3sbDhbH9Cz0tuDiY8C3ctxq1tqvaCgkFb8cCA/edit?usp=sharing"",""อุดรธานี!I62"")"),20)</f>
        <v>20</v>
      </c>
      <c r="J132" s="205">
        <f ca="1">IFERROR(__xludf.DUMMYFUNCTION("IMPORTRANGE(""https://docs.google.com/spreadsheets/d/1XL5vhW3sbDhbH9Cz0tuDiY8C3ctxq1tqvaCgkFb8cCA/edit?usp=sharing"",""อุดรธานี!J62"")"),1)</f>
        <v>1</v>
      </c>
      <c r="K132" s="225">
        <f t="shared" ref="K132:K133" ca="1" si="63">IF(I132&gt;0,J132*100/I132,0)</f>
        <v>5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IFERROR(__xludf.DUMMYFUNCTION("IMPORTRANGE(""https://docs.google.com/spreadsheets/d/1XL5vhW3sbDhbH9Cz0tuDiY8C3ctxq1tqvaCgkFb8cCA/edit?usp=sharing"",""อุดรธานี!I63"")"),20)</f>
        <v>20</v>
      </c>
      <c r="J133" s="205">
        <f ca="1">IFERROR(__xludf.DUMMYFUNCTION("IMPORTRANGE(""https://docs.google.com/spreadsheets/d/1XL5vhW3sbDhbH9Cz0tuDiY8C3ctxq1tqvaCgkFb8cCA/edit?usp=sharing"",""อุดรธานี!J63"")"),0)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102000</v>
      </c>
      <c r="M140" s="152">
        <f t="shared" ca="1" si="64"/>
        <v>83750</v>
      </c>
      <c r="N140" s="152">
        <f t="shared" ca="1" si="64"/>
        <v>72305</v>
      </c>
      <c r="O140" s="151">
        <f t="shared" ref="O140:O142" ca="1" si="65">IF(L140&gt;0,N140*100/L140,0)</f>
        <v>70.887254901960787</v>
      </c>
      <c r="P140" s="151">
        <f t="shared" ref="P140:P142" ca="1" si="66">IF(M140&gt;0,N140*100/M140,0)</f>
        <v>86.33432835820895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102000</v>
      </c>
      <c r="M142" s="157">
        <f t="shared" ca="1" si="68"/>
        <v>83750</v>
      </c>
      <c r="N142" s="157">
        <f t="shared" ca="1" si="68"/>
        <v>72305</v>
      </c>
      <c r="O142" s="156">
        <f t="shared" ca="1" si="65"/>
        <v>70.887254901960787</v>
      </c>
      <c r="P142" s="156">
        <f t="shared" ca="1" si="66"/>
        <v>86.33432835820895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102000</v>
      </c>
      <c r="M144" s="537">
        <f ca="1">IFERROR(__xludf.DUMMYFUNCTION("IMPORTRANGE(""https://docs.google.com/spreadsheets/d/1Yj_ptqi66GCucihVvJfMjLAmec39IyEx_6qawtMGysU/edit?usp=sharing"",""สบก!BJ56"")"),83750)</f>
        <v>83750</v>
      </c>
      <c r="N144" s="538">
        <f ca="1">IFERROR(__xludf.DUMMYFUNCTION("IMPORTRANGE(""https://docs.google.com/spreadsheets/d/1Yj_ptqi66GCucihVvJfMjLAmec39IyEx_6qawtMGysU/edit?usp=sharing"",""สบก!BK56"")"),72305)</f>
        <v>72305</v>
      </c>
      <c r="O144" s="170">
        <f ca="1">IF(L144&gt;0,N144*100/L144,0)</f>
        <v>70.887254901960787</v>
      </c>
      <c r="P144" s="170">
        <f ca="1">IF(M144&gt;0,N144*100/M144,0)</f>
        <v>86.33432835820895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IFERROR(__xludf.DUMMYFUNCTION("IMPORTRANGE(""https://docs.google.com/spreadsheets/d/1Yj_ptqi66GCucihVvJfMjLAmec39IyEx_6qawtMGysU/edit?usp=sharing"",""สบก!BF56"")"),0)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IFERROR(__xludf.DUMMYFUNCTION("IMPORTRANGE(""https://docs.google.com/spreadsheets/d/1Yj_ptqi66GCucihVvJfMjLAmec39IyEx_6qawtMGysU/edit?usp=sharing"",""สบก!BG56"")"),102000)</f>
        <v>102000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IFERROR(__xludf.DUMMYFUNCTION("IMPORTRANGE(""https://docs.google.com/spreadsheets/d/1Yj_ptqi66GCucihVvJfMjLAmec39IyEx_6qawtMGysU/edit?usp=sharing"",""สบก!BH56"")"),0)</f>
        <v>0</v>
      </c>
      <c r="M148" s="536"/>
      <c r="N148" s="533">
        <f ca="1">IFERROR(__xludf.DUMMYFUNCTION("IMPORTRANGE(""https://docs.google.com/spreadsheets/d/1Yj_ptqi66GCucihVvJfMjLAmec39IyEx_6qawtMGysU/edit?usp=sharing"",""สบก!BL56"")"),0)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IFERROR(__xludf.DUMMYFUNCTION("IMPORTRANGE(""https://docs.google.com/spreadsheets/d/1XL5vhW3sbDhbH9Cz0tuDiY8C3ctxq1tqvaCgkFb8cCA/edit?usp=sharing"",""อุดรธานี!J79"")"),1)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IFERROR(__xludf.DUMMYFUNCTION("IMPORTRANGE(""https://docs.google.com/spreadsheets/d/1XL5vhW3sbDhbH9Cz0tuDiY8C3ctxq1tqvaCgkFb8cCA/edit?usp=sharing"",""อุดรธานี!J80"")"),0)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IFERROR(__xludf.DUMMYFUNCTION("IMPORTRANGE(""https://docs.google.com/spreadsheets/d/1XL5vhW3sbDhbH9Cz0tuDiY8C3ctxq1tqvaCgkFb8cCA/edit?usp=sharing"",""อุดรธานี!J81"")"),0)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IFERROR(__xludf.DUMMYFUNCTION("IMPORTRANGE(""https://docs.google.com/spreadsheets/d/1XL5vhW3sbDhbH9Cz0tuDiY8C3ctxq1tqvaCgkFb8cCA/edit?usp=sharing"",""อุดรธานี!J82"")"),0)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IFERROR(__xludf.DUMMYFUNCTION("IMPORTRANGE(""https://docs.google.com/spreadsheets/d/1XL5vhW3sbDhbH9Cz0tuDiY8C3ctxq1tqvaCgkFb8cCA/edit?usp=sharing"",""อุดรธานี!I83"")"),4)</f>
        <v>4</v>
      </c>
      <c r="J158" s="190">
        <f ca="1">IFERROR(__xludf.DUMMYFUNCTION("IMPORTRANGE(""https://docs.google.com/spreadsheets/d/1XL5vhW3sbDhbH9Cz0tuDiY8C3ctxq1tqvaCgkFb8cCA/edit?usp=sharing"",""อุดรธานี!J83"")"),0)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IFERROR(__xludf.DUMMYFUNCTION("IMPORTRANGE(""https://docs.google.com/spreadsheets/d/1XL5vhW3sbDhbH9Cz0tuDiY8C3ctxq1tqvaCgkFb8cCA/edit?usp=sharing"",""อุดรธานี!J84"")"),0)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IFERROR(__xludf.DUMMYFUNCTION("IMPORTRANGE(""https://docs.google.com/spreadsheets/d/1XL5vhW3sbDhbH9Cz0tuDiY8C3ctxq1tqvaCgkFb8cCA/edit?usp=sharing"",""อุดรธานี!J85"")"),0)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IFERROR(__xludf.DUMMYFUNCTION("IMPORTRANGE(""https://docs.google.com/spreadsheets/d/1XL5vhW3sbDhbH9Cz0tuDiY8C3ctxq1tqvaCgkFb8cCA/edit?usp=sharing"",""อุดรธานี!J86"")"),0)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IFERROR(__xludf.DUMMYFUNCTION("IMPORTRANGE(""https://docs.google.com/spreadsheets/d/1XL5vhW3sbDhbH9Cz0tuDiY8C3ctxq1tqvaCgkFb8cCA/edit?usp=sharing"",""อุดรธานี!J87"")"),0)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IFERROR(__xludf.DUMMYFUNCTION("IMPORTRANGE(""https://docs.google.com/spreadsheets/d/1XL5vhW3sbDhbH9Cz0tuDiY8C3ctxq1tqvaCgkFb8cCA/edit?usp=sharing"",""อุดรธานี!I89"")"),3)</f>
        <v>3</v>
      </c>
      <c r="J164" s="284">
        <f ca="1">IFERROR(__xludf.DUMMYFUNCTION("IMPORTRANGE(""https://docs.google.com/spreadsheets/d/1XL5vhW3sbDhbH9Cz0tuDiY8C3ctxq1tqvaCgkFb8cCA/edit?usp=sharing"",""อุดรธานี!J89"")"),3)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IFERROR(__xludf.DUMMYFUNCTION("IMPORTRANGE(""https://docs.google.com/spreadsheets/d/1XL5vhW3sbDhbH9Cz0tuDiY8C3ctxq1tqvaCgkFb8cCA/edit?usp=sharing"",""อุดรธานี!J94"")"),0)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IFERROR(__xludf.DUMMYFUNCTION("IMPORTRANGE(""https://docs.google.com/spreadsheets/d/1XL5vhW3sbDhbH9Cz0tuDiY8C3ctxq1tqvaCgkFb8cCA/edit?usp=sharing"",""อุดรธานี!J95"")"),1)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IFERROR(__xludf.DUMMYFUNCTION("IMPORTRANGE(""https://docs.google.com/spreadsheets/d/1XL5vhW3sbDhbH9Cz0tuDiY8C3ctxq1tqvaCgkFb8cCA/edit?usp=sharing"",""อุดรธานี!J96"")"),1)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IFERROR(__xludf.DUMMYFUNCTION("IMPORTRANGE(""https://docs.google.com/spreadsheets/d/1XL5vhW3sbDhbH9Cz0tuDiY8C3ctxq1tqvaCgkFb8cCA/edit?usp=sharing"",""อุดรธานี!J97"")"),1)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IFERROR(__xludf.DUMMYFUNCTION("IMPORTRANGE(""https://docs.google.com/spreadsheets/d/1XL5vhW3sbDhbH9Cz0tuDiY8C3ctxq1tqvaCgkFb8cCA/edit?usp=sharing"",""อุดรธานี!I98"")"),3)</f>
        <v>3</v>
      </c>
      <c r="J173" s="190">
        <f ca="1">IFERROR(__xludf.DUMMYFUNCTION("IMPORTRANGE(""https://docs.google.com/spreadsheets/d/1XL5vhW3sbDhbH9Cz0tuDiY8C3ctxq1tqvaCgkFb8cCA/edit?usp=sharing"",""อุดรธานี!J98"")"),3)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IFERROR(__xludf.DUMMYFUNCTION("IMPORTRANGE(""https://docs.google.com/spreadsheets/d/1XL5vhW3sbDhbH9Cz0tuDiY8C3ctxq1tqvaCgkFb8cCA/edit?usp=sharing"",""อุดรธานี!J99"")"),0)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IFERROR(__xludf.DUMMYFUNCTION("IMPORTRANGE(""https://docs.google.com/spreadsheets/d/1XL5vhW3sbDhbH9Cz0tuDiY8C3ctxq1tqvaCgkFb8cCA/edit?usp=sharing"",""อุดรธานี!J100"")"),0)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IFERROR(__xludf.DUMMYFUNCTION("IMPORTRANGE(""https://docs.google.com/spreadsheets/d/1XL5vhW3sbDhbH9Cz0tuDiY8C3ctxq1tqvaCgkFb8cCA/edit?usp=sharing"",""อุดรธานี!I101"")"),3)</f>
        <v>3</v>
      </c>
      <c r="J176" s="284">
        <f ca="1">IFERROR(__xludf.DUMMYFUNCTION("IMPORTRANGE(""https://docs.google.com/spreadsheets/d/1XL5vhW3sbDhbH9Cz0tuDiY8C3ctxq1tqvaCgkFb8cCA/edit?usp=sharing"",""อุดรธานี!J101"")"),0)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IFERROR(__xludf.DUMMYFUNCTION("IMPORTRANGE(""https://docs.google.com/spreadsheets/d/1XL5vhW3sbDhbH9Cz0tuDiY8C3ctxq1tqvaCgkFb8cCA/edit?usp=sharing"",""อุดรธานี!J106"")"),1)</f>
        <v>1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IFERROR(__xludf.DUMMYFUNCTION("IMPORTRANGE(""https://docs.google.com/spreadsheets/d/1XL5vhW3sbDhbH9Cz0tuDiY8C3ctxq1tqvaCgkFb8cCA/edit?usp=sharing"",""อุดรธานี!J107"")"),0)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IFERROR(__xludf.DUMMYFUNCTION("IMPORTRANGE(""https://docs.google.com/spreadsheets/d/1XL5vhW3sbDhbH9Cz0tuDiY8C3ctxq1tqvaCgkFb8cCA/edit?usp=sharing"",""อุดรธานี!J108"")"),0)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IFERROR(__xludf.DUMMYFUNCTION("IMPORTRANGE(""https://docs.google.com/spreadsheets/d/1XL5vhW3sbDhbH9Cz0tuDiY8C3ctxq1tqvaCgkFb8cCA/edit?usp=sharing"",""อุดรธานี!I110"")"),3)</f>
        <v>3</v>
      </c>
      <c r="J185" s="205">
        <f ca="1">IFERROR(__xludf.DUMMYFUNCTION("IMPORTRANGE(""https://docs.google.com/spreadsheets/d/1XL5vhW3sbDhbH9Cz0tuDiY8C3ctxq1tqvaCgkFb8cCA/edit?usp=sharing"",""อุดรธานี!J110"")"),0)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IFERROR(__xludf.DUMMYFUNCTION("IMPORTRANGE(""https://docs.google.com/spreadsheets/d/1XL5vhW3sbDhbH9Cz0tuDiY8C3ctxq1tqvaCgkFb8cCA/edit?usp=sharing"",""อุดรธานี!I111"")"),3)</f>
        <v>3</v>
      </c>
      <c r="J186" s="205">
        <f ca="1">IFERROR(__xludf.DUMMYFUNCTION("IMPORTRANGE(""https://docs.google.com/spreadsheets/d/1XL5vhW3sbDhbH9Cz0tuDiY8C3ctxq1tqvaCgkFb8cCA/edit?usp=sharing"",""อุดรธานี!J111"")"),0)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IFERROR(__xludf.DUMMYFUNCTION("IMPORTRANGE(""https://docs.google.com/spreadsheets/d/1XL5vhW3sbDhbH9Cz0tuDiY8C3ctxq1tqvaCgkFb8cCA/edit?usp=sharing"",""อุดรธานี!J112"")"),0)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IFERROR(__xludf.DUMMYFUNCTION("IMPORTRANGE(""https://docs.google.com/spreadsheets/d/1XL5vhW3sbDhbH9Cz0tuDiY8C3ctxq1tqvaCgkFb8cCA/edit?usp=sharing"",""อุดรธานี!J113"")"),0)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IFERROR(__xludf.DUMMYFUNCTION("IMPORTRANGE(""https://docs.google.com/spreadsheets/d/1XL5vhW3sbDhbH9Cz0tuDiY8C3ctxq1tqvaCgkFb8cCA/edit?usp=sharing"",""อุดรธานี!I114"")"),10000)</f>
        <v>10000</v>
      </c>
      <c r="J189" s="284">
        <f ca="1">IFERROR(__xludf.DUMMYFUNCTION("IMPORTRANGE(""https://docs.google.com/spreadsheets/d/1XL5vhW3sbDhbH9Cz0tuDiY8C3ctxq1tqvaCgkFb8cCA/edit?usp=sharing"",""อุดรธานี!J114"")"),0)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IFERROR(__xludf.DUMMYFUNCTION("IMPORTRANGE(""https://docs.google.com/spreadsheets/d/1XL5vhW3sbDhbH9Cz0tuDiY8C3ctxq1tqvaCgkFb8cCA/edit?usp=sharing"",""อุดรธานี!J119"")"),1)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IFERROR(__xludf.DUMMYFUNCTION("IMPORTRANGE(""https://docs.google.com/spreadsheets/d/1XL5vhW3sbDhbH9Cz0tuDiY8C3ctxq1tqvaCgkFb8cCA/edit?usp=sharing"",""อุดรธานี!J120"")"),0)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IFERROR(__xludf.DUMMYFUNCTION("IMPORTRANGE(""https://docs.google.com/spreadsheets/d/1XL5vhW3sbDhbH9Cz0tuDiY8C3ctxq1tqvaCgkFb8cCA/edit?usp=sharing"",""อุดรธานี!J121"")"),0)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IFERROR(__xludf.DUMMYFUNCTION("IMPORTRANGE(""https://docs.google.com/spreadsheets/d/1XL5vhW3sbDhbH9Cz0tuDiY8C3ctxq1tqvaCgkFb8cCA/edit?usp=sharing"",""อุดรธานี!J122"")"),0)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IFERROR(__xludf.DUMMYFUNCTION("IMPORTRANGE(""https://docs.google.com/spreadsheets/d/1XL5vhW3sbDhbH9Cz0tuDiY8C3ctxq1tqvaCgkFb8cCA/edit?usp=sharing"",""อุดรธานี!I124"")"),10000)</f>
        <v>10000</v>
      </c>
      <c r="J199" s="190">
        <f ca="1">IFERROR(__xludf.DUMMYFUNCTION("IMPORTRANGE(""https://docs.google.com/spreadsheets/d/1XL5vhW3sbDhbH9Cz0tuDiY8C3ctxq1tqvaCgkFb8cCA/edit?usp=sharing"",""อุดรธานี!J124"")"),0)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IFERROR(__xludf.DUMMYFUNCTION("IMPORTRANGE(""https://docs.google.com/spreadsheets/d/1XL5vhW3sbDhbH9Cz0tuDiY8C3ctxq1tqvaCgkFb8cCA/edit?usp=sharing"",""อุดรธานี!I125"")"),10000)</f>
        <v>10000</v>
      </c>
      <c r="J200" s="190">
        <f ca="1">IFERROR(__xludf.DUMMYFUNCTION("IMPORTRANGE(""https://docs.google.com/spreadsheets/d/1XL5vhW3sbDhbH9Cz0tuDiY8C3ctxq1tqvaCgkFb8cCA/edit?usp=sharing"",""อุดรธานี!J125"")"),0)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IFERROR(__xludf.DUMMYFUNCTION("IMPORTRANGE(""https://docs.google.com/spreadsheets/d/1XL5vhW3sbDhbH9Cz0tuDiY8C3ctxq1tqvaCgkFb8cCA/edit?usp=sharing"",""อุดรธานี!I126"")"),0)</f>
        <v>0</v>
      </c>
      <c r="J201" s="190">
        <f ca="1">IFERROR(__xludf.DUMMYFUNCTION("IMPORTRANGE(""https://docs.google.com/spreadsheets/d/1XL5vhW3sbDhbH9Cz0tuDiY8C3ctxq1tqvaCgkFb8cCA/edit?usp=sharing"",""อุดรธานี!J126"")"),0)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IFERROR(__xludf.DUMMYFUNCTION("IMPORTRANGE(""https://docs.google.com/spreadsheets/d/1XL5vhW3sbDhbH9Cz0tuDiY8C3ctxq1tqvaCgkFb8cCA/edit?usp=sharing"",""อุดรธานี!J127"")"),0)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IFERROR(__xludf.DUMMYFUNCTION("IMPORTRANGE(""https://docs.google.com/spreadsheets/d/1XL5vhW3sbDhbH9Cz0tuDiY8C3ctxq1tqvaCgkFb8cCA/edit?usp=sharing"",""อุดรธานี!J128"")"),0)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IFERROR(__xludf.DUMMYFUNCTION("IMPORTRANGE(""https://docs.google.com/spreadsheets/d/1XL5vhW3sbDhbH9Cz0tuDiY8C3ctxq1tqvaCgkFb8cCA/edit?usp=sharing"",""อุดรธานี!I129"")"),0)</f>
        <v>0</v>
      </c>
      <c r="J204" s="284">
        <f ca="1">IFERROR(__xludf.DUMMYFUNCTION("IMPORTRANGE(""https://docs.google.com/spreadsheets/d/1XL5vhW3sbDhbH9Cz0tuDiY8C3ctxq1tqvaCgkFb8cCA/edit?usp=sharing"",""อุดรธานี!J129"")"),0)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IFERROR(__xludf.DUMMYFUNCTION("IMPORTRANGE(""https://docs.google.com/spreadsheets/d/1XL5vhW3sbDhbH9Cz0tuDiY8C3ctxq1tqvaCgkFb8cCA/edit?usp=sharing"",""อุดรธานี!I138"")"),0)</f>
        <v>0</v>
      </c>
      <c r="J213" s="205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IFERROR(__xludf.DUMMYFUNCTION("IMPORTRANGE(""https://docs.google.com/spreadsheets/d/1XL5vhW3sbDhbH9Cz0tuDiY8C3ctxq1tqvaCgkFb8cCA/edit?usp=sharing"",""อุดรธานี!I140"")"),0)</f>
        <v>0</v>
      </c>
      <c r="J215" s="205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IFERROR(__xludf.DUMMYFUNCTION("IMPORTRANGE(""https://docs.google.com/spreadsheets/d/1XL5vhW3sbDhbH9Cz0tuDiY8C3ctxq1tqvaCgkFb8cCA/edit?usp=sharing"",""อุดรธานี!I141"")"),0)</f>
        <v>0</v>
      </c>
      <c r="J216" s="205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18850</v>
      </c>
      <c r="O220" s="151">
        <f t="shared" ref="O220:O222" ca="1" si="73">IF(L220&gt;0,N220*100/L220,0)</f>
        <v>93.270658090054425</v>
      </c>
      <c r="P220" s="151">
        <f t="shared" ref="P220:P222" ca="1" si="74">IF(M220&gt;0,N220*100/M220,0)</f>
        <v>93.270658090054425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18850</v>
      </c>
      <c r="O222" s="156">
        <f t="shared" ca="1" si="73"/>
        <v>93.270658090054425</v>
      </c>
      <c r="P222" s="156">
        <f t="shared" ca="1" si="74"/>
        <v>93.270658090054425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IFERROR(__xludf.DUMMYFUNCTION("IMPORTRANGE(""https://docs.google.com/spreadsheets/d/1Yj_ptqi66GCucihVvJfMjLAmec39IyEx_6qawtMGysU/edit?usp=sharing"",""สบก!BS56"")"),20210)</f>
        <v>20210</v>
      </c>
      <c r="N224" s="538">
        <f ca="1">IFERROR(__xludf.DUMMYFUNCTION("IMPORTRANGE(""https://docs.google.com/spreadsheets/d/1Yj_ptqi66GCucihVvJfMjLAmec39IyEx_6qawtMGysU/edit?usp=sharing"",""สบก!BT56"")"),18850)</f>
        <v>18850</v>
      </c>
      <c r="O224" s="170">
        <f ca="1">IF(L224&gt;0,N224*100/L224,0)</f>
        <v>93.270658090054425</v>
      </c>
      <c r="P224" s="170">
        <f ca="1">IF(M224&gt;0,N224*100/M224,0)</f>
        <v>93.270658090054425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IFERROR(__xludf.DUMMYFUNCTION("IMPORTRANGE(""https://docs.google.com/spreadsheets/d/1Yj_ptqi66GCucihVvJfMjLAmec39IyEx_6qawtMGysU/edit?usp=sharing"",""สบก!BO56"")"),0)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IFERROR(__xludf.DUMMYFUNCTION("IMPORTRANGE(""https://docs.google.com/spreadsheets/d/1Yj_ptqi66GCucihVvJfMjLAmec39IyEx_6qawtMGysU/edit?usp=sharing"",""สบก!BP56"")"),20210)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IFERROR(__xludf.DUMMYFUNCTION("IMPORTRANGE(""https://docs.google.com/spreadsheets/d/1Yj_ptqi66GCucihVvJfMjLAmec39IyEx_6qawtMGysU/edit?usp=sharing"",""สบก!BQ56"")"),0)</f>
        <v>0</v>
      </c>
      <c r="M228" s="536"/>
      <c r="N228" s="533">
        <f ca="1">IFERROR(__xludf.DUMMYFUNCTION("IMPORTRANGE(""https://docs.google.com/spreadsheets/d/1Yj_ptqi66GCucihVvJfMjLAmec39IyEx_6qawtMGysU/edit?usp=sharing"",""สบก!BU56"")"),0)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IFERROR(__xludf.DUMMYFUNCTION("IMPORTRANGE(""https://docs.google.com/spreadsheets/d/1XL5vhW3sbDhbH9Cz0tuDiY8C3ctxq1tqvaCgkFb8cCA/edit?usp=sharing"",""อุดรธานี!J151"")"),0)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IFERROR(__xludf.DUMMYFUNCTION("IMPORTRANGE(""https://docs.google.com/spreadsheets/d/1XL5vhW3sbDhbH9Cz0tuDiY8C3ctxq1tqvaCgkFb8cCA/edit?usp=sharing"",""อุดรธานี!J152"")"),1)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IFERROR(__xludf.DUMMYFUNCTION("IMPORTRANGE(""https://docs.google.com/spreadsheets/d/1XL5vhW3sbDhbH9Cz0tuDiY8C3ctxq1tqvaCgkFb8cCA/edit?usp=sharing"",""อุดรธานี!J153"")"),1)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IFERROR(__xludf.DUMMYFUNCTION("IMPORTRANGE(""https://docs.google.com/spreadsheets/d/1XL5vhW3sbDhbH9Cz0tuDiY8C3ctxq1tqvaCgkFb8cCA/edit?usp=sharing"",""อุดรธานี!J154"")"),1)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IFERROR(__xludf.DUMMYFUNCTION("IMPORTRANGE(""https://docs.google.com/spreadsheets/d/1XL5vhW3sbDhbH9Cz0tuDiY8C3ctxq1tqvaCgkFb8cCA/edit?usp=sharing"",""อุดรธานี!I155"")"),14)</f>
        <v>14</v>
      </c>
      <c r="J235" s="190">
        <f ca="1">IFERROR(__xludf.DUMMYFUNCTION("IMPORTRANGE(""https://docs.google.com/spreadsheets/d/1XL5vhW3sbDhbH9Cz0tuDiY8C3ctxq1tqvaCgkFb8cCA/edit?usp=sharing"",""อุดรธานี!J155"")"),0)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IFERROR(__xludf.DUMMYFUNCTION("IMPORTRANGE(""https://docs.google.com/spreadsheets/d/1XL5vhW3sbDhbH9Cz0tuDiY8C3ctxq1tqvaCgkFb8cCA/edit?usp=sharing"",""อุดรธานี!J156"")"),0)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IFERROR(__xludf.DUMMYFUNCTION("IMPORTRANGE(""https://docs.google.com/spreadsheets/d/1XL5vhW3sbDhbH9Cz0tuDiY8C3ctxq1tqvaCgkFb8cCA/edit?usp=sharing"",""อุดรธานี!J157"")"),0)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IFERROR(__xludf.DUMMYFUNCTION("IMPORTRANGE(""https://docs.google.com/spreadsheets/d/1XL5vhW3sbDhbH9Cz0tuDiY8C3ctxq1tqvaCgkFb8cCA/edit?usp=sharing"",""อุดรธานี!J159"")"),"")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IFERROR(__xludf.DUMMYFUNCTION("IMPORTRANGE(""https://docs.google.com/spreadsheets/d/1XL5vhW3sbDhbH9Cz0tuDiY8C3ctxq1tqvaCgkFb8cCA/edit?usp=sharing"",""อุดรธานี!J161"")"),0)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IFERROR(__xludf.DUMMYFUNCTION("IMPORTRANGE(""https://docs.google.com/spreadsheets/d/1XL5vhW3sbDhbH9Cz0tuDiY8C3ctxq1tqvaCgkFb8cCA/edit?usp=sharing"",""อุดรธานี!J162"")"),0)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IFERROR(__xludf.DUMMYFUNCTION("IMPORTRANGE(""https://docs.google.com/spreadsheets/d/1XL5vhW3sbDhbH9Cz0tuDiY8C3ctxq1tqvaCgkFb8cCA/edit?usp=sharing"",""อุดรธานี!J163"")"),0)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IFERROR(__xludf.DUMMYFUNCTION("IMPORTRANGE(""https://docs.google.com/spreadsheets/d/1XL5vhW3sbDhbH9Cz0tuDiY8C3ctxq1tqvaCgkFb8cCA/edit?usp=sharing"",""อุดรธานี!I164"")"),0)</f>
        <v>0</v>
      </c>
      <c r="J244" s="189">
        <f ca="1">IFERROR(__xludf.DUMMYFUNCTION("IMPORTRANGE(""https://docs.google.com/spreadsheets/d/1XL5vhW3sbDhbH9Cz0tuDiY8C3ctxq1tqvaCgkFb8cCA/edit?usp=sharing"",""อุดรธานี!J164"")"),0)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IFERROR(__xludf.DUMMYFUNCTION("IMPORTRANGE(""https://docs.google.com/spreadsheets/d/1XL5vhW3sbDhbH9Cz0tuDiY8C3ctxq1tqvaCgkFb8cCA/edit?usp=sharing"",""อุดรธานี!J165"")"),0)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IFERROR(__xludf.DUMMYFUNCTION("IMPORTRANGE(""https://docs.google.com/spreadsheets/d/1XL5vhW3sbDhbH9Cz0tuDiY8C3ctxq1tqvaCgkFb8cCA/edit?usp=sharing"",""อุดรธานี!I169"")"),20)</f>
        <v>20</v>
      </c>
      <c r="J249" s="316">
        <f ca="1">IFERROR(__xludf.DUMMYFUNCTION("IMPORTRANGE(""https://docs.google.com/spreadsheets/d/1XL5vhW3sbDhbH9Cz0tuDiY8C3ctxq1tqvaCgkFb8cCA/edit?usp=sharing"",""อุดรธานี!J169"")"),0)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31015</v>
      </c>
      <c r="O250" s="151">
        <f t="shared" ref="O250:O252" ca="1" si="78">IF(L250&gt;0,N250*100/L250,0)</f>
        <v>43.438375350140056</v>
      </c>
      <c r="P250" s="151">
        <f t="shared" ref="P250:P252" ca="1" si="79">IF(M250&gt;0,N250*100/M250,0)</f>
        <v>83.824324324324323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31015</v>
      </c>
      <c r="O252" s="156">
        <f t="shared" ca="1" si="78"/>
        <v>43.438375350140056</v>
      </c>
      <c r="P252" s="156">
        <f t="shared" ca="1" si="79"/>
        <v>83.824324324324323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537">
        <f ca="1">IFERROR(__xludf.DUMMYFUNCTION("IMPORTRANGE(""https://docs.google.com/spreadsheets/d/1Yj_ptqi66GCucihVvJfMjLAmec39IyEx_6qawtMGysU/edit?usp=sharing"",""สบก!CB56"")"),37000)</f>
        <v>37000</v>
      </c>
      <c r="N254" s="538">
        <f ca="1">IFERROR(__xludf.DUMMYFUNCTION("IMPORTRANGE(""https://docs.google.com/spreadsheets/d/1Yj_ptqi66GCucihVvJfMjLAmec39IyEx_6qawtMGysU/edit?usp=sharing"",""สบก!CC56"")"),31015)</f>
        <v>31015</v>
      </c>
      <c r="O254" s="170">
        <f ca="1">IF(L254&gt;0,N254*100/L254,0)</f>
        <v>43.438375350140056</v>
      </c>
      <c r="P254" s="170">
        <f ca="1">IF(M254&gt;0,N254*100/M254,0)</f>
        <v>83.824324324324323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IFERROR(__xludf.DUMMYFUNCTION("IMPORTRANGE(""https://docs.google.com/spreadsheets/d/1Yj_ptqi66GCucihVvJfMjLAmec39IyEx_6qawtMGysU/edit?usp=sharing"",""สบก!BX56"")"),0)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IFERROR(__xludf.DUMMYFUNCTION("IMPORTRANGE(""https://docs.google.com/spreadsheets/d/1Yj_ptqi66GCucihVvJfMjLAmec39IyEx_6qawtMGysU/edit?usp=sharing"",""สบก!BY56"")"),71400)</f>
        <v>71400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IFERROR(__xludf.DUMMYFUNCTION("IMPORTRANGE(""https://docs.google.com/spreadsheets/d/1Yj_ptqi66GCucihVvJfMjLAmec39IyEx_6qawtMGysU/edit?usp=sharing"",""สบก!BZ56"")"),0)</f>
        <v>0</v>
      </c>
      <c r="M258" s="536"/>
      <c r="N258" s="533">
        <f ca="1">IFERROR(__xludf.DUMMYFUNCTION("IMPORTRANGE(""https://docs.google.com/spreadsheets/d/1Yj_ptqi66GCucihVvJfMjLAmec39IyEx_6qawtMGysU/edit?usp=sharing"",""สบก!CD56"")"),0)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IFERROR(__xludf.DUMMYFUNCTION("IMPORTRANGE(""https://docs.google.com/spreadsheets/d/1XL5vhW3sbDhbH9Cz0tuDiY8C3ctxq1tqvaCgkFb8cCA/edit?usp=sharing"",""อุดรธานี!J175"")"),0)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IFERROR(__xludf.DUMMYFUNCTION("IMPORTRANGE(""https://docs.google.com/spreadsheets/d/1XL5vhW3sbDhbH9Cz0tuDiY8C3ctxq1tqvaCgkFb8cCA/edit?usp=sharing"",""อุดรธานี!J176"")"),1)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IFERROR(__xludf.DUMMYFUNCTION("IMPORTRANGE(""https://docs.google.com/spreadsheets/d/1XL5vhW3sbDhbH9Cz0tuDiY8C3ctxq1tqvaCgkFb8cCA/edit?usp=sharing"",""อุดรธานี!J177"")"),1)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IFERROR(__xludf.DUMMYFUNCTION("IMPORTRANGE(""https://docs.google.com/spreadsheets/d/1XL5vhW3sbDhbH9Cz0tuDiY8C3ctxq1tqvaCgkFb8cCA/edit?usp=sharing"",""อุดรธานี!J178"")"),1)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IFERROR(__xludf.DUMMYFUNCTION("IMPORTRANGE(""https://docs.google.com/spreadsheets/d/1XL5vhW3sbDhbH9Cz0tuDiY8C3ctxq1tqvaCgkFb8cCA/edit?usp=sharing"",""อุดรธานี!I179"")"),1)</f>
        <v>1</v>
      </c>
      <c r="J264" s="190">
        <f ca="1">IFERROR(__xludf.DUMMYFUNCTION("IMPORTRANGE(""https://docs.google.com/spreadsheets/d/1XL5vhW3sbDhbH9Cz0tuDiY8C3ctxq1tqvaCgkFb8cCA/edit?usp=sharing"",""อุดรธานี!J179"")"),1)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IFERROR(__xludf.DUMMYFUNCTION("IMPORTRANGE(""https://docs.google.com/spreadsheets/d/1XL5vhW3sbDhbH9Cz0tuDiY8C3ctxq1tqvaCgkFb8cCA/edit?usp=sharing"",""อุดรธานี!I180"")"),20)</f>
        <v>20</v>
      </c>
      <c r="J265" s="190">
        <f ca="1">IFERROR(__xludf.DUMMYFUNCTION("IMPORTRANGE(""https://docs.google.com/spreadsheets/d/1XL5vhW3sbDhbH9Cz0tuDiY8C3ctxq1tqvaCgkFb8cCA/edit?usp=sharing"",""อุดรธานี!J180"")"),0)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IFERROR(__xludf.DUMMYFUNCTION("IMPORTRANGE(""https://docs.google.com/spreadsheets/d/1XL5vhW3sbDhbH9Cz0tuDiY8C3ctxq1tqvaCgkFb8cCA/edit?usp=sharing"",""อุดรธานี!I181"")"),20)</f>
        <v>20</v>
      </c>
      <c r="J266" s="190">
        <f ca="1">IFERROR(__xludf.DUMMYFUNCTION("IMPORTRANGE(""https://docs.google.com/spreadsheets/d/1XL5vhW3sbDhbH9Cz0tuDiY8C3ctxq1tqvaCgkFb8cCA/edit?usp=sharing"",""อุดรธานี!J181"")"),0)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IFERROR(__xludf.DUMMYFUNCTION("IMPORTRANGE(""https://docs.google.com/spreadsheets/d/1XL5vhW3sbDhbH9Cz0tuDiY8C3ctxq1tqvaCgkFb8cCA/edit?usp=sharing"",""อุดรธานี!I182"")"),1)</f>
        <v>1</v>
      </c>
      <c r="J267" s="190">
        <f ca="1">IFERROR(__xludf.DUMMYFUNCTION("IMPORTRANGE(""https://docs.google.com/spreadsheets/d/1XL5vhW3sbDhbH9Cz0tuDiY8C3ctxq1tqvaCgkFb8cCA/edit?usp=sharing"",""อุดรธานี!J182"")"),0)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IFERROR(__xludf.DUMMYFUNCTION("IMPORTRANGE(""https://docs.google.com/spreadsheets/d/1XL5vhW3sbDhbH9Cz0tuDiY8C3ctxq1tqvaCgkFb8cCA/edit?usp=sharing"",""อุดรธานี!J183"")"),0)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IFERROR(__xludf.DUMMYFUNCTION("IMPORTRANGE(""https://docs.google.com/spreadsheets/d/1XL5vhW3sbDhbH9Cz0tuDiY8C3ctxq1tqvaCgkFb8cCA/edit?usp=sharing"",""อุดรธานี!J184"")"),0)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IFERROR(__xludf.DUMMYFUNCTION("IMPORTRANGE(""https://docs.google.com/spreadsheets/d/1XL5vhW3sbDhbH9Cz0tuDiY8C3ctxq1tqvaCgkFb8cCA/edit?usp=sharing"",""อุดรธานี!I185"")"),20)</f>
        <v>20</v>
      </c>
      <c r="J270" s="316">
        <f ca="1">IFERROR(__xludf.DUMMYFUNCTION("IMPORTRANGE(""https://docs.google.com/spreadsheets/d/1XL5vhW3sbDhbH9Cz0tuDiY8C3ctxq1tqvaCgkFb8cCA/edit?usp=sharing"",""อุดรธานี!J185"")"),20)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93000</v>
      </c>
      <c r="N271" s="152">
        <f t="shared" ca="1" si="83"/>
        <v>82013</v>
      </c>
      <c r="O271" s="151">
        <f t="shared" ref="O271:O273" ca="1" si="84">IF(L271&gt;0,N271*100/L271,0)</f>
        <v>44.669389978213509</v>
      </c>
      <c r="P271" s="151">
        <f t="shared" ref="P271:P273" ca="1" si="85">IF(M271&gt;0,N271*100/M271,0)</f>
        <v>88.186021505376345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93000</v>
      </c>
      <c r="N273" s="157">
        <f t="shared" ca="1" si="87"/>
        <v>82013</v>
      </c>
      <c r="O273" s="156">
        <f t="shared" ca="1" si="84"/>
        <v>44.669389978213509</v>
      </c>
      <c r="P273" s="156">
        <f t="shared" ca="1" si="85"/>
        <v>88.186021505376345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537">
        <f ca="1">IFERROR(__xludf.DUMMYFUNCTION("IMPORTRANGE(""https://docs.google.com/spreadsheets/d/1Yj_ptqi66GCucihVvJfMjLAmec39IyEx_6qawtMGysU/edit?usp=sharing"",""สบก!CK56"")"),93000)</f>
        <v>93000</v>
      </c>
      <c r="N275" s="538">
        <f ca="1">IFERROR(__xludf.DUMMYFUNCTION("IMPORTRANGE(""https://docs.google.com/spreadsheets/d/1Yj_ptqi66GCucihVvJfMjLAmec39IyEx_6qawtMGysU/edit?usp=sharing"",""สบก!CL56"")"),82013)</f>
        <v>82013</v>
      </c>
      <c r="O275" s="170">
        <f ca="1">IF(L275&gt;0,N275*100/L275,0)</f>
        <v>44.669389978213509</v>
      </c>
      <c r="P275" s="170">
        <f ca="1">IF(M275&gt;0,N275*100/M275,0)</f>
        <v>88.186021505376345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IFERROR(__xludf.DUMMYFUNCTION("IMPORTRANGE(""https://docs.google.com/spreadsheets/d/1Yj_ptqi66GCucihVvJfMjLAmec39IyEx_6qawtMGysU/edit?usp=sharing"",""สบก!CG56"")"),0)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IFERROR(__xludf.DUMMYFUNCTION("IMPORTRANGE(""https://docs.google.com/spreadsheets/d/1Yj_ptqi66GCucihVvJfMjLAmec39IyEx_6qawtMGysU/edit?usp=sharing"",""สบก!CH56"")"),183600)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IFERROR(__xludf.DUMMYFUNCTION("IMPORTRANGE(""https://docs.google.com/spreadsheets/d/1Yj_ptqi66GCucihVvJfMjLAmec39IyEx_6qawtMGysU/edit?usp=sharing"",""สบก!CI56"")"),0)</f>
        <v>0</v>
      </c>
      <c r="M279" s="536"/>
      <c r="N279" s="533">
        <f ca="1">IFERROR(__xludf.DUMMYFUNCTION("IMPORTRANGE(""https://docs.google.com/spreadsheets/d/1Yj_ptqi66GCucihVvJfMjLAmec39IyEx_6qawtMGysU/edit?usp=sharing"",""สบก!CM56"")"),0)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IFERROR(__xludf.DUMMYFUNCTION("IMPORTRANGE(""https://docs.google.com/spreadsheets/d/1XL5vhW3sbDhbH9Cz0tuDiY8C3ctxq1tqvaCgkFb8cCA/edit?usp=sharing"",""อุดรธานี!J191"")"),0)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IFERROR(__xludf.DUMMYFUNCTION("IMPORTRANGE(""https://docs.google.com/spreadsheets/d/1XL5vhW3sbDhbH9Cz0tuDiY8C3ctxq1tqvaCgkFb8cCA/edit?usp=sharing"",""อุดรธานี!J192"")"),1)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IFERROR(__xludf.DUMMYFUNCTION("IMPORTRANGE(""https://docs.google.com/spreadsheets/d/1XL5vhW3sbDhbH9Cz0tuDiY8C3ctxq1tqvaCgkFb8cCA/edit?usp=sharing"",""อุดรธานี!J193"")"),1)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IFERROR(__xludf.DUMMYFUNCTION("IMPORTRANGE(""https://docs.google.com/spreadsheets/d/1XL5vhW3sbDhbH9Cz0tuDiY8C3ctxq1tqvaCgkFb8cCA/edit?usp=sharing"",""อุดรธานี!J194"")"),1)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IFERROR(__xludf.DUMMYFUNCTION("IMPORTRANGE(""https://docs.google.com/spreadsheets/d/1XL5vhW3sbDhbH9Cz0tuDiY8C3ctxq1tqvaCgkFb8cCA/edit?usp=sharing"",""อุดรธานี!I195"")"),20)</f>
        <v>20</v>
      </c>
      <c r="J285" s="190">
        <f ca="1">IFERROR(__xludf.DUMMYFUNCTION("IMPORTRANGE(""https://docs.google.com/spreadsheets/d/1XL5vhW3sbDhbH9Cz0tuDiY8C3ctxq1tqvaCgkFb8cCA/edit?usp=sharing"",""อุดรธานี!J195"")"),20)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IFERROR(__xludf.DUMMYFUNCTION("IMPORTRANGE(""https://docs.google.com/spreadsheets/d/1XL5vhW3sbDhbH9Cz0tuDiY8C3ctxq1tqvaCgkFb8cCA/edit?usp=sharing"",""อุดรธานี!J196"")"),0)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IFERROR(__xludf.DUMMYFUNCTION("IMPORTRANGE(""https://docs.google.com/spreadsheets/d/1XL5vhW3sbDhbH9Cz0tuDiY8C3ctxq1tqvaCgkFb8cCA/edit?usp=sharing"",""อุดรธานี!I199"")"),0)</f>
        <v>0</v>
      </c>
      <c r="J289" s="316">
        <f ca="1">IFERROR(__xludf.DUMMYFUNCTION("IMPORTRANGE(""https://docs.google.com/spreadsheets/d/1XL5vhW3sbDhbH9Cz0tuDiY8C3ctxq1tqvaCgkFb8cCA/edit?usp=sharing"",""อุดรธานี!J199"")"),0)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IFERROR(__xludf.DUMMYFUNCTION("IMPORTRANGE(""https://docs.google.com/spreadsheets/d/1Yj_ptqi66GCucihVvJfMjLAmec39IyEx_6qawtMGysU/edit?usp=sharing"",""สบก!CT56"")"),0)</f>
        <v>0</v>
      </c>
      <c r="N294" s="538">
        <f ca="1">IFERROR(__xludf.DUMMYFUNCTION("IMPORTRANGE(""https://docs.google.com/spreadsheets/d/1Yj_ptqi66GCucihVvJfMjLAmec39IyEx_6qawtMGysU/edit?usp=sharing"",""สบก!CU56"")"),0)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IFERROR(__xludf.DUMMYFUNCTION("IMPORTRANGE(""https://docs.google.com/spreadsheets/d/1Yj_ptqi66GCucihVvJfMjLAmec39IyEx_6qawtMGysU/edit?usp=sharing"",""สบก!CP56"")"),0)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IFERROR(__xludf.DUMMYFUNCTION("IMPORTRANGE(""https://docs.google.com/spreadsheets/d/1Yj_ptqi66GCucihVvJfMjLAmec39IyEx_6qawtMGysU/edit?usp=sharing"",""สบก!CQ56"")"),0)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IFERROR(__xludf.DUMMYFUNCTION("IMPORTRANGE(""https://docs.google.com/spreadsheets/d/1Yj_ptqi66GCucihVvJfMjLAmec39IyEx_6qawtMGysU/edit?usp=sharing"",""สบก!CR56"")"),0)</f>
        <v>0</v>
      </c>
      <c r="M298" s="536"/>
      <c r="N298" s="533">
        <f ca="1">IFERROR(__xludf.DUMMYFUNCTION("IMPORTRANGE(""https://docs.google.com/spreadsheets/d/1Yj_ptqi66GCucihVvJfMjLAmec39IyEx_6qawtMGysU/edit?usp=sharing"",""สบก!CV56"")"),0)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IFERROR(__xludf.DUMMYFUNCTION("IMPORTRANGE(""https://docs.google.com/spreadsheets/d/1XL5vhW3sbDhbH9Cz0tuDiY8C3ctxq1tqvaCgkFb8cCA/edit?usp=sharing"",""อุดรธานี!I209"")"),0)</f>
        <v>0</v>
      </c>
      <c r="J304" s="205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IFERROR(__xludf.DUMMYFUNCTION("IMPORTRANGE(""https://docs.google.com/spreadsheets/d/1XL5vhW3sbDhbH9Cz0tuDiY8C3ctxq1tqvaCgkFb8cCA/edit?usp=sharing"",""อุดรธานี!I211"")"),0)</f>
        <v>0</v>
      </c>
      <c r="J306" s="205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IFERROR(__xludf.DUMMYFUNCTION("IMPORTRANGE(""https://docs.google.com/spreadsheets/d/1XL5vhW3sbDhbH9Cz0tuDiY8C3ctxq1tqvaCgkFb8cCA/edit?usp=sharing"",""อุดรธานี!I214"")"),0)</f>
        <v>0</v>
      </c>
      <c r="J309" s="333">
        <f ca="1">IFERROR(__xludf.DUMMYFUNCTION("IMPORTRANGE(""https://docs.google.com/spreadsheets/d/1XL5vhW3sbDhbH9Cz0tuDiY8C3ctxq1tqvaCgkFb8cCA/edit?usp=sharing"",""อุดรธานี!J214"")"),0)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IFERROR(__xludf.DUMMYFUNCTION("IMPORTRANGE(""https://docs.google.com/spreadsheets/d/1Yj_ptqi66GCucihVvJfMjLAmec39IyEx_6qawtMGysU/edit?usp=sharing"",""สบก!DC56"")"),0)</f>
        <v>0</v>
      </c>
      <c r="N314" s="538">
        <f ca="1">IFERROR(__xludf.DUMMYFUNCTION("IMPORTRANGE(""https://docs.google.com/spreadsheets/d/1Yj_ptqi66GCucihVvJfMjLAmec39IyEx_6qawtMGysU/edit?usp=sharing"",""สบก!DD56"")"),0)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IFERROR(__xludf.DUMMYFUNCTION("IMPORTRANGE(""https://docs.google.com/spreadsheets/d/1Yj_ptqi66GCucihVvJfMjLAmec39IyEx_6qawtMGysU/edit?usp=sharing"",""สบก!CY56"")"),0)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IFERROR(__xludf.DUMMYFUNCTION("IMPORTRANGE(""https://docs.google.com/spreadsheets/d/1Yj_ptqi66GCucihVvJfMjLAmec39IyEx_6qawtMGysU/edit?usp=sharing"",""สบก!CZ56"")"),0)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IFERROR(__xludf.DUMMYFUNCTION("IMPORTRANGE(""https://docs.google.com/spreadsheets/d/1Yj_ptqi66GCucihVvJfMjLAmec39IyEx_6qawtMGysU/edit?usp=sharing"",""สบก!DA56"")"),0)</f>
        <v>0</v>
      </c>
      <c r="M318" s="536"/>
      <c r="N318" s="533">
        <f ca="1">IFERROR(__xludf.DUMMYFUNCTION("IMPORTRANGE(""https://docs.google.com/spreadsheets/d/1Yj_ptqi66GCucihVvJfMjLAmec39IyEx_6qawtMGysU/edit?usp=sharing"",""สบก!DE56"")"),0)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IFERROR(__xludf.DUMMYFUNCTION("IMPORTRANGE(""https://docs.google.com/spreadsheets/d/1XL5vhW3sbDhbH9Cz0tuDiY8C3ctxq1tqvaCgkFb8cCA/edit?usp=sharing"",""อุดรธานี!I224"")"),0)</f>
        <v>0</v>
      </c>
      <c r="J324" s="205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IFERROR(__xludf.DUMMYFUNCTION("IMPORTRANGE(""https://docs.google.com/spreadsheets/d/1XL5vhW3sbDhbH9Cz0tuDiY8C3ctxq1tqvaCgkFb8cCA/edit?usp=sharing"",""อุดรธานี!I228"")"),1060)</f>
        <v>1060</v>
      </c>
      <c r="J328" s="339">
        <f ca="1">IFERROR(__xludf.DUMMYFUNCTION("IMPORTRANGE(""https://docs.google.com/spreadsheets/d/1XL5vhW3sbDhbH9Cz0tuDiY8C3ctxq1tqvaCgkFb8cCA/edit?usp=sharing"",""อุดรธานี!J228"")"),285)</f>
        <v>285</v>
      </c>
      <c r="K328" s="317">
        <f ca="1">IF(I328&gt;0,J328*100/I328,0)</f>
        <v>26.886792452830189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1970220</v>
      </c>
      <c r="M329" s="152">
        <f t="shared" ca="1" si="98"/>
        <v>1395570</v>
      </c>
      <c r="N329" s="152">
        <f t="shared" ca="1" si="98"/>
        <v>1134498</v>
      </c>
      <c r="O329" s="151">
        <f t="shared" ref="O329:O331" ca="1" si="99">IF(L329&gt;0,N329*100/L329,0)</f>
        <v>57.582300453756432</v>
      </c>
      <c r="P329" s="151">
        <f t="shared" ref="P329:P331" ca="1" si="100">IF(M329&gt;0,N329*100/M329,0)</f>
        <v>81.292805090393173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1970220</v>
      </c>
      <c r="M331" s="157">
        <f t="shared" ca="1" si="102"/>
        <v>1395570</v>
      </c>
      <c r="N331" s="157">
        <f t="shared" ca="1" si="102"/>
        <v>1134498</v>
      </c>
      <c r="O331" s="156">
        <f t="shared" ca="1" si="99"/>
        <v>57.582300453756432</v>
      </c>
      <c r="P331" s="156">
        <f t="shared" ca="1" si="100"/>
        <v>81.292805090393173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1831220</v>
      </c>
      <c r="M333" s="537">
        <f ca="1">IFERROR(__xludf.DUMMYFUNCTION("IMPORTRANGE(""https://docs.google.com/spreadsheets/d/1Yj_ptqi66GCucihVvJfMjLAmec39IyEx_6qawtMGysU/edit?usp=sharing"",""สบก!DL56"")"),1256570)</f>
        <v>1256570</v>
      </c>
      <c r="N333" s="538">
        <f ca="1">IFERROR(__xludf.DUMMYFUNCTION("IMPORTRANGE(""https://docs.google.com/spreadsheets/d/1Yj_ptqi66GCucihVvJfMjLAmec39IyEx_6qawtMGysU/edit?usp=sharing"",""สบก!DM56"")"),995498)</f>
        <v>995498</v>
      </c>
      <c r="O333" s="170">
        <f ca="1">IF(L333&gt;0,N333*100/L333,0)</f>
        <v>54.362556110134229</v>
      </c>
      <c r="P333" s="170">
        <f ca="1">IF(M333&gt;0,N333*100/M333,0)</f>
        <v>79.223441590997723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IFERROR(__xludf.DUMMYFUNCTION("IMPORTRANGE(""https://docs.google.com/spreadsheets/d/1Yj_ptqi66GCucihVvJfMjLAmec39IyEx_6qawtMGysU/edit?usp=sharing"",""สบก!DH56"")"),306000)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IFERROR(__xludf.DUMMYFUNCTION("IMPORTRANGE(""https://docs.google.com/spreadsheets/d/1Yj_ptqi66GCucihVvJfMjLAmec39IyEx_6qawtMGysU/edit?usp=sharing"",""สบก!DI56"")"),1525220)</f>
        <v>1525220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IFERROR(__xludf.DUMMYFUNCTION("IMPORTRANGE(""https://docs.google.com/spreadsheets/d/1Yj_ptqi66GCucihVvJfMjLAmec39IyEx_6qawtMGysU/edit?usp=sharing"",""สบก!DJ56"")"),139000)</f>
        <v>139000</v>
      </c>
      <c r="M337" s="536">
        <f ca="1">L337</f>
        <v>139000</v>
      </c>
      <c r="N337" s="533">
        <f ca="1">IFERROR(__xludf.DUMMYFUNCTION("IMPORTRANGE(""https://docs.google.com/spreadsheets/d/1Yj_ptqi66GCucihVvJfMjLAmec39IyEx_6qawtMGysU/edit?usp=sharing"",""สบก!DN56"")"),139000)</f>
        <v>139000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IFERROR(__xludf.DUMMYFUNCTION("IMPORTRANGE(""https://docs.google.com/spreadsheets/d/1XL5vhW3sbDhbH9Cz0tuDiY8C3ctxq1tqvaCgkFb8cCA/edit?usp=sharing"",""อุดรธานี!I234"")"),0)</f>
        <v>0</v>
      </c>
      <c r="J339" s="189">
        <f ca="1">IFERROR(__xludf.DUMMYFUNCTION("IMPORTRANGE(""https://docs.google.com/spreadsheets/d/1XL5vhW3sbDhbH9Cz0tuDiY8C3ctxq1tqvaCgkFb8cCA/edit?usp=sharing"",""อุดรธานี!J234"")"),679)</f>
        <v>679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IFERROR(__xludf.DUMMYFUNCTION("IMPORTRANGE(""https://docs.google.com/spreadsheets/d/1XL5vhW3sbDhbH9Cz0tuDiY8C3ctxq1tqvaCgkFb8cCA/edit?usp=sharing"",""อุดรธานี!I235"")"),12500)</f>
        <v>12500</v>
      </c>
      <c r="J340" s="189">
        <f ca="1">IFERROR(__xludf.DUMMYFUNCTION("IMPORTRANGE(""https://docs.google.com/spreadsheets/d/1XL5vhW3sbDhbH9Cz0tuDiY8C3ctxq1tqvaCgkFb8cCA/edit?usp=sharing"",""อุดรธานี!J235"")"),7200.66)</f>
        <v>7200.66</v>
      </c>
      <c r="K340" s="342">
        <f t="shared" ca="1" si="103"/>
        <v>57.60528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IFERROR(__xludf.DUMMYFUNCTION("IMPORTRANGE(""https://docs.google.com/spreadsheets/d/1XL5vhW3sbDhbH9Cz0tuDiY8C3ctxq1tqvaCgkFb8cCA/edit?usp=sharing"",""อุดรธานี!I236"")"),1060)</f>
        <v>1060</v>
      </c>
      <c r="J341" s="189">
        <f ca="1">IFERROR(__xludf.DUMMYFUNCTION("IMPORTRANGE(""https://docs.google.com/spreadsheets/d/1XL5vhW3sbDhbH9Cz0tuDiY8C3ctxq1tqvaCgkFb8cCA/edit?usp=sharing"",""อุดรธานี!J236"")"),1145)</f>
        <v>1145</v>
      </c>
      <c r="K341" s="342">
        <f t="shared" ca="1" si="103"/>
        <v>108.01886792452831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9">
        <f ca="1">IFERROR(__xludf.DUMMYFUNCTION("IMPORTRANGE(""https://docs.google.com/spreadsheets/d/1XL5vhW3sbDhbH9Cz0tuDiY8C3ctxq1tqvaCgkFb8cCA/edit?usp=sharing"",""อุดรธานี!J237"")"),19153.26)</f>
        <v>19153.259999999998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IFERROR(__xludf.DUMMYFUNCTION("IMPORTRANGE(""https://docs.google.com/spreadsheets/d/1XL5vhW3sbDhbH9Cz0tuDiY8C3ctxq1tqvaCgkFb8cCA/edit?usp=sharing"",""อุดรธานี!I238"")"),1060)</f>
        <v>1060</v>
      </c>
      <c r="J343" s="189">
        <f ca="1">IFERROR(__xludf.DUMMYFUNCTION("IMPORTRANGE(""https://docs.google.com/spreadsheets/d/1XL5vhW3sbDhbH9Cz0tuDiY8C3ctxq1tqvaCgkFb8cCA/edit?usp=sharing"",""อุดรธานี!J238"")"),256)</f>
        <v>256</v>
      </c>
      <c r="K343" s="342">
        <f t="shared" ca="1" si="103"/>
        <v>24.150943396226417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9">
        <f ca="1">IFERROR(__xludf.DUMMYFUNCTION("IMPORTRANGE(""https://docs.google.com/spreadsheets/d/1XL5vhW3sbDhbH9Cz0tuDiY8C3ctxq1tqvaCgkFb8cCA/edit?usp=sharing"",""อุดรธานี!J239"")"),3450.61)</f>
        <v>3450.61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IFERROR(__xludf.DUMMYFUNCTION("IMPORTRANGE(""https://docs.google.com/spreadsheets/d/1XL5vhW3sbDhbH9Cz0tuDiY8C3ctxq1tqvaCgkFb8cCA/edit?usp=sharing"",""อุดรธานี!I240"")"),1060)</f>
        <v>1060</v>
      </c>
      <c r="J345" s="189">
        <f ca="1">IFERROR(__xludf.DUMMYFUNCTION("IMPORTRANGE(""https://docs.google.com/spreadsheets/d/1XL5vhW3sbDhbH9Cz0tuDiY8C3ctxq1tqvaCgkFb8cCA/edit?usp=sharing"",""อุดรธานี!J240"")"),285)</f>
        <v>285</v>
      </c>
      <c r="K345" s="342">
        <f t="shared" ca="1" si="103"/>
        <v>26.886792452830189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9">
        <f ca="1">IFERROR(__xludf.DUMMYFUNCTION("IMPORTRANGE(""https://docs.google.com/spreadsheets/d/1XL5vhW3sbDhbH9Cz0tuDiY8C3ctxq1tqvaCgkFb8cCA/edit?usp=sharing"",""อุดรธานี!J241"")"),3917.18)</f>
        <v>3917.18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IFERROR(__xludf.DUMMYFUNCTION("IMPORTRANGE(""https://docs.google.com/spreadsheets/d/1XL5vhW3sbDhbH9Cz0tuDiY8C3ctxq1tqvaCgkFb8cCA/edit?usp=sharing"",""อุดรธานี!L242"")"),3349991)</f>
        <v>3349991</v>
      </c>
      <c r="M347" s="358"/>
      <c r="N347" s="358">
        <f ca="1">IFERROR(__xludf.DUMMYFUNCTION("IMPORTRANGE(""https://docs.google.com/spreadsheets/d/1XL5vhW3sbDhbH9Cz0tuDiY8C3ctxq1tqvaCgkFb8cCA/edit?usp=sharing"",""อุดรธานี!M242"")"),845693.96)</f>
        <v>845693.96</v>
      </c>
      <c r="O347" s="358">
        <f ca="1">+IF(L347&gt;0,N347*100/L347,0)</f>
        <v>25.244663642379933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IFERROR(__xludf.DUMMYFUNCTION("IMPORTRANGE(""https://docs.google.com/spreadsheets/d/1XL5vhW3sbDhbH9Cz0tuDiY8C3ctxq1tqvaCgkFb8cCA/edit?usp=sharing"",""อุดรธานี!M244"")"),178883.7)</f>
        <v>178883.7</v>
      </c>
      <c r="O349" s="373">
        <f ca="1">+IF(L349&gt;0,N349*100/L349,0)</f>
        <v>17.760494440031771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IFERROR(__xludf.DUMMYFUNCTION("IMPORTRANGE(""https://docs.google.com/spreadsheets/d/1XL5vhW3sbDhbH9Cz0tuDiY8C3ctxq1tqvaCgkFb8cCA/edit?usp=sharing"",""อุดรธานี!L246"")"),0)</f>
        <v>0</v>
      </c>
      <c r="M351" s="166"/>
      <c r="N351" s="166">
        <f ca="1">IFERROR(__xludf.DUMMYFUNCTION("IMPORTRANGE(""https://docs.google.com/spreadsheets/d/1XL5vhW3sbDhbH9Cz0tuDiY8C3ctxq1tqvaCgkFb8cCA/edit?usp=sharing"",""อุดรธานี!M246"")"),0)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IFERROR(__xludf.DUMMYFUNCTION("IMPORTRANGE(""https://docs.google.com/spreadsheets/d/1XL5vhW3sbDhbH9Cz0tuDiY8C3ctxq1tqvaCgkFb8cCA/edit?usp=sharing"",""อุดรธานี!L247"")"),1007200)</f>
        <v>1007200</v>
      </c>
      <c r="M352" s="167"/>
      <c r="N352" s="166">
        <f ca="1">IFERROR(__xludf.DUMMYFUNCTION("IMPORTRANGE(""https://docs.google.com/spreadsheets/d/1XL5vhW3sbDhbH9Cz0tuDiY8C3ctxq1tqvaCgkFb8cCA/edit?usp=sharing"",""อุดรธานี!M247"")"),178883.7)</f>
        <v>178883.7</v>
      </c>
      <c r="O352" s="167">
        <f t="shared" ca="1" si="105"/>
        <v>17.760494440031771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IFERROR(__xludf.DUMMYFUNCTION("IMPORTRANGE(""https://docs.google.com/spreadsheets/d/1XL5vhW3sbDhbH9Cz0tuDiY8C3ctxq1tqvaCgkFb8cCA/edit?usp=sharing"",""อุดรธานี!L248"")"),0)</f>
        <v>0</v>
      </c>
      <c r="M353" s="170"/>
      <c r="N353" s="170">
        <f ca="1">IFERROR(__xludf.DUMMYFUNCTION("IMPORTRANGE(""https://docs.google.com/spreadsheets/d/1XL5vhW3sbDhbH9Cz0tuDiY8C3ctxq1tqvaCgkFb8cCA/edit?usp=sharing"",""อุดรธานี!M248"")"),0)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IFERROR(__xludf.DUMMYFUNCTION("IMPORTRANGE(""https://docs.google.com/spreadsheets/d/1XL5vhW3sbDhbH9Cz0tuDiY8C3ctxq1tqvaCgkFb8cCA/edit?usp=sharing"",""อุดรธานี!L249"")"),1007200)</f>
        <v>1007200</v>
      </c>
      <c r="M354" s="170"/>
      <c r="N354" s="169">
        <f ca="1">IFERROR(__xludf.DUMMYFUNCTION("IMPORTRANGE(""https://docs.google.com/spreadsheets/d/1XL5vhW3sbDhbH9Cz0tuDiY8C3ctxq1tqvaCgkFb8cCA/edit?usp=sharing"",""อุดรธานี!M249"")"),178883.7)</f>
        <v>178883.7</v>
      </c>
      <c r="O354" s="170">
        <f t="shared" ca="1" si="105"/>
        <v>17.760494440031771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IFERROR(__xludf.DUMMYFUNCTION("IMPORTRANGE(""https://docs.google.com/spreadsheets/d/1XL5vhW3sbDhbH9Cz0tuDiY8C3ctxq1tqvaCgkFb8cCA/edit?usp=sharing"",""อุดรธานี!M250"")"),119045)</f>
        <v>119045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IFERROR(__xludf.DUMMYFUNCTION("IMPORTRANGE(""https://docs.google.com/spreadsheets/d/1XL5vhW3sbDhbH9Cz0tuDiY8C3ctxq1tqvaCgkFb8cCA/edit?usp=sharing"",""อุดรธานี!M251"")"),0)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IFERROR(__xludf.DUMMYFUNCTION("IMPORTRANGE(""https://docs.google.com/spreadsheets/d/1XL5vhW3sbDhbH9Cz0tuDiY8C3ctxq1tqvaCgkFb8cCA/edit?usp=sharing"",""อุดรธานี!M252"")"),58838.7)</f>
        <v>58838.7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IFERROR(__xludf.DUMMYFUNCTION("IMPORTRANGE(""https://docs.google.com/spreadsheets/d/1XL5vhW3sbDhbH9Cz0tuDiY8C3ctxq1tqvaCgkFb8cCA/edit?usp=sharing"",""อุดรธานี!M253"")"),1000)</f>
        <v>1000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IFERROR(__xludf.DUMMYFUNCTION("IMPORTRANGE(""https://docs.google.com/spreadsheets/d/1XL5vhW3sbDhbH9Cz0tuDiY8C3ctxq1tqvaCgkFb8cCA/edit?usp=sharing"",""อุดรธานี!J255"")"),0)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IFERROR(__xludf.DUMMYFUNCTION("IMPORTRANGE(""https://docs.google.com/spreadsheets/d/1XL5vhW3sbDhbH9Cz0tuDiY8C3ctxq1tqvaCgkFb8cCA/edit?usp=sharing"",""อุดรธานี!J256"")"),1)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IFERROR(__xludf.DUMMYFUNCTION("IMPORTRANGE(""https://docs.google.com/spreadsheets/d/1XL5vhW3sbDhbH9Cz0tuDiY8C3ctxq1tqvaCgkFb8cCA/edit?usp=sharing"",""อุดรธานี!J257"")"),1)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IFERROR(__xludf.DUMMYFUNCTION("IMPORTRANGE(""https://docs.google.com/spreadsheets/d/1XL5vhW3sbDhbH9Cz0tuDiY8C3ctxq1tqvaCgkFb8cCA/edit?usp=sharing"",""อุดรธานี!J258"")"),1)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IFERROR(__xludf.DUMMYFUNCTION("IMPORTRANGE(""https://docs.google.com/spreadsheets/d/1XL5vhW3sbDhbH9Cz0tuDiY8C3ctxq1tqvaCgkFb8cCA/edit?usp=sharing"",""อุดรธานี!J166"")"),0)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IFERROR(__xludf.DUMMYFUNCTION("IMPORTRANGE(""https://docs.google.com/spreadsheets/d/1XL5vhW3sbDhbH9Cz0tuDiY8C3ctxq1tqvaCgkFb8cCA/edit?usp=sharing"",""อุดรธานี!J166"")"),0)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IFERROR(__xludf.DUMMYFUNCTION("IMPORTRANGE(""https://docs.google.com/spreadsheets/d/1XL5vhW3sbDhbH9Cz0tuDiY8C3ctxq1tqvaCgkFb8cCA/edit?usp=sharing"",""อุดรธานี!J166"")"),0)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IFERROR(__xludf.DUMMYFUNCTION("IMPORTRANGE(""https://docs.google.com/spreadsheets/d/1XL5vhW3sbDhbH9Cz0tuDiY8C3ctxq1tqvaCgkFb8cCA/edit?usp=sharing"",""อุดรธานี!J166"")"),0)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IFERROR(__xludf.DUMMYFUNCTION("IMPORTRANGE(""https://docs.google.com/spreadsheets/d/1XL5vhW3sbDhbH9Cz0tuDiY8C3ctxq1tqvaCgkFb8cCA/edit?usp=sharing"",""อุดรธานี!I263"")"),140)</f>
        <v>140</v>
      </c>
      <c r="J368" s="189">
        <f ca="1">IFERROR(__xludf.DUMMYFUNCTION("IMPORTRANGE(""https://docs.google.com/spreadsheets/d/1XL5vhW3sbDhbH9Cz0tuDiY8C3ctxq1tqvaCgkFb8cCA/edit?usp=sharing"",""อุดรธานี!J263"")"),0)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IFERROR(__xludf.DUMMYFUNCTION("IMPORTRANGE(""https://docs.google.com/spreadsheets/d/1XL5vhW3sbDhbH9Cz0tuDiY8C3ctxq1tqvaCgkFb8cCA/edit?usp=sharing"",""อุดรธานี!I164"")"),0)</f>
        <v>0</v>
      </c>
      <c r="J369" s="205">
        <f ca="1">IFERROR(__xludf.DUMMYFUNCTION("IMPORTRANGE(""https://docs.google.com/spreadsheets/d/1XL5vhW3sbDhbH9Cz0tuDiY8C3ctxq1tqvaCgkFb8cCA/edit?usp=sharing"",""อุดรธานี!J164"")"),0)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IFERROR(__xludf.DUMMYFUNCTION("IMPORTRANGE(""https://docs.google.com/spreadsheets/d/1XL5vhW3sbDhbH9Cz0tuDiY8C3ctxq1tqvaCgkFb8cCA/edit?usp=sharing"",""อุดรธานี!I265"")"),140)</f>
        <v>140</v>
      </c>
      <c r="J370" s="205">
        <f ca="1">IFERROR(__xludf.DUMMYFUNCTION("IMPORTRANGE(""https://docs.google.com/spreadsheets/d/1XL5vhW3sbDhbH9Cz0tuDiY8C3ctxq1tqvaCgkFb8cCA/edit?usp=sharing"",""อุดรธานี!J265"")"),0)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IFERROR(__xludf.DUMMYFUNCTION("IMPORTRANGE(""https://docs.google.com/spreadsheets/d/1XL5vhW3sbDhbH9Cz0tuDiY8C3ctxq1tqvaCgkFb8cCA/edit?usp=sharing"",""อุดรธานี!I164"")"),0)</f>
        <v>0</v>
      </c>
      <c r="J371" s="190">
        <f ca="1">IFERROR(__xludf.DUMMYFUNCTION("IMPORTRANGE(""https://docs.google.com/spreadsheets/d/1XL5vhW3sbDhbH9Cz0tuDiY8C3ctxq1tqvaCgkFb8cCA/edit?usp=sharing"",""อุดรธานี!J164"")"),0)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IFERROR(__xludf.DUMMYFUNCTION("IMPORTRANGE(""https://docs.google.com/spreadsheets/d/1XL5vhW3sbDhbH9Cz0tuDiY8C3ctxq1tqvaCgkFb8cCA/edit?usp=sharing"",""อุดรธานี!I267"")"),140)</f>
        <v>140</v>
      </c>
      <c r="J372" s="190">
        <f ca="1">IFERROR(__xludf.DUMMYFUNCTION("IMPORTRANGE(""https://docs.google.com/spreadsheets/d/1XL5vhW3sbDhbH9Cz0tuDiY8C3ctxq1tqvaCgkFb8cCA/edit?usp=sharing"",""อุดรธานี!J267"")"),0)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IFERROR(__xludf.DUMMYFUNCTION("IMPORTRANGE(""https://docs.google.com/spreadsheets/d/1XL5vhW3sbDhbH9Cz0tuDiY8C3ctxq1tqvaCgkFb8cCA/edit?usp=sharing"",""อุดรธานี!I164"")"),0)</f>
        <v>0</v>
      </c>
      <c r="J373" s="205">
        <f ca="1">IFERROR(__xludf.DUMMYFUNCTION("IMPORTRANGE(""https://docs.google.com/spreadsheets/d/1XL5vhW3sbDhbH9Cz0tuDiY8C3ctxq1tqvaCgkFb8cCA/edit?usp=sharing"",""อุดรธานี!J164"")"),0)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IFERROR(__xludf.DUMMYFUNCTION("IMPORTRANGE(""https://docs.google.com/spreadsheets/d/1XL5vhW3sbDhbH9Cz0tuDiY8C3ctxq1tqvaCgkFb8cCA/edit?usp=sharing"",""อุดรธานี!I164"")"),0)</f>
        <v>0</v>
      </c>
      <c r="J374" s="189">
        <f ca="1">IFERROR(__xludf.DUMMYFUNCTION("IMPORTRANGE(""https://docs.google.com/spreadsheets/d/1XL5vhW3sbDhbH9Cz0tuDiY8C3ctxq1tqvaCgkFb8cCA/edit?usp=sharing"",""อุดรธานี!J164"")"),0)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IFERROR(__xludf.DUMMYFUNCTION("IMPORTRANGE(""https://docs.google.com/spreadsheets/d/1XL5vhW3sbDhbH9Cz0tuDiY8C3ctxq1tqvaCgkFb8cCA/edit?usp=sharing"",""อุดรธานี!I270"")"),662)</f>
        <v>662</v>
      </c>
      <c r="J375" s="189">
        <f ca="1">IFERROR(__xludf.DUMMYFUNCTION("IMPORTRANGE(""https://docs.google.com/spreadsheets/d/1XL5vhW3sbDhbH9Cz0tuDiY8C3ctxq1tqvaCgkFb8cCA/edit?usp=sharing"",""อุดรธานี!J270"")"),0)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IFERROR(__xludf.DUMMYFUNCTION("IMPORTRANGE(""https://docs.google.com/spreadsheets/d/1XL5vhW3sbDhbH9Cz0tuDiY8C3ctxq1tqvaCgkFb8cCA/edit?usp=sharing"",""อุดรธานี!I271"")"),500)</f>
        <v>500</v>
      </c>
      <c r="J376" s="190">
        <f ca="1">IFERROR(__xludf.DUMMYFUNCTION("IMPORTRANGE(""https://docs.google.com/spreadsheets/d/1XL5vhW3sbDhbH9Cz0tuDiY8C3ctxq1tqvaCgkFb8cCA/edit?usp=sharing"",""อุดรธานี!J271"")"),0)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IFERROR(__xludf.DUMMYFUNCTION("IMPORTRANGE(""https://docs.google.com/spreadsheets/d/1XL5vhW3sbDhbH9Cz0tuDiY8C3ctxq1tqvaCgkFb8cCA/edit?usp=sharing"",""อุดรธานี!I272"")"),162)</f>
        <v>162</v>
      </c>
      <c r="J377" s="205">
        <f ca="1">IFERROR(__xludf.DUMMYFUNCTION("IMPORTRANGE(""https://docs.google.com/spreadsheets/d/1XL5vhW3sbDhbH9Cz0tuDiY8C3ctxq1tqvaCgkFb8cCA/edit?usp=sharing"",""อุดรธานี!J272"")"),0)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IFERROR(__xludf.DUMMYFUNCTION("IMPORTRANGE(""https://docs.google.com/spreadsheets/d/1XL5vhW3sbDhbH9Cz0tuDiY8C3ctxq1tqvaCgkFb8cCA/edit?usp=sharing"",""อุดรธานี!J273"")"),0)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IFERROR(__xludf.DUMMYFUNCTION("IMPORTRANGE(""https://docs.google.com/spreadsheets/d/1XL5vhW3sbDhbH9Cz0tuDiY8C3ctxq1tqvaCgkFb8cCA/edit?usp=sharing"",""อุดรธานี!M275"")"),77930.9)</f>
        <v>77930.899999999994</v>
      </c>
      <c r="O380" s="373">
        <f ca="1">+IF(L380&gt;0,N380*100/L380,0)</f>
        <v>7.5769941274841512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IFERROR(__xludf.DUMMYFUNCTION("IMPORTRANGE(""https://docs.google.com/spreadsheets/d/1XL5vhW3sbDhbH9Cz0tuDiY8C3ctxq1tqvaCgkFb8cCA/edit?usp=sharing"",""อุดรธานี!L277"")"),0)</f>
        <v>0</v>
      </c>
      <c r="M382" s="166"/>
      <c r="N382" s="166">
        <f ca="1">IFERROR(__xludf.DUMMYFUNCTION("IMPORTRANGE(""https://docs.google.com/spreadsheets/d/1XL5vhW3sbDhbH9Cz0tuDiY8C3ctxq1tqvaCgkFb8cCA/edit?usp=sharing"",""อุดรธานี!M277"")"),0)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IFERROR(__xludf.DUMMYFUNCTION("IMPORTRANGE(""https://docs.google.com/spreadsheets/d/1XL5vhW3sbDhbH9Cz0tuDiY8C3ctxq1tqvaCgkFb8cCA/edit?usp=sharing"",""อุดรธานี!L278"")"),1028520)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IFERROR(__xludf.DUMMYFUNCTION("IMPORTRANGE(""https://docs.google.com/spreadsheets/d/1XL5vhW3sbDhbH9Cz0tuDiY8C3ctxq1tqvaCgkFb8cCA/edit?usp=sharing"",""อุดรธานี!M278"")"),77930.9)</f>
        <v>77930.899999999994</v>
      </c>
      <c r="O383" s="167">
        <f t="shared" ca="1" si="109"/>
        <v>7.5769941274841512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IFERROR(__xludf.DUMMYFUNCTION("IMPORTRANGE(""https://docs.google.com/spreadsheets/d/1XL5vhW3sbDhbH9Cz0tuDiY8C3ctxq1tqvaCgkFb8cCA/edit?usp=sharing"",""อุดรธานี!L279"")"),0)</f>
        <v>0</v>
      </c>
      <c r="M384" s="170"/>
      <c r="N384" s="170">
        <f ca="1">IFERROR(__xludf.DUMMYFUNCTION("IMPORTRANGE(""https://docs.google.com/spreadsheets/d/1XL5vhW3sbDhbH9Cz0tuDiY8C3ctxq1tqvaCgkFb8cCA/edit?usp=sharing"",""อุดรธานี!M279"")"),0)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IFERROR(__xludf.DUMMYFUNCTION("IMPORTRANGE(""https://docs.google.com/spreadsheets/d/1XL5vhW3sbDhbH9Cz0tuDiY8C3ctxq1tqvaCgkFb8cCA/edit?usp=sharing"",""อุดรธานี!L280"")"),1028520)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IFERROR(__xludf.DUMMYFUNCTION("IMPORTRANGE(""https://docs.google.com/spreadsheets/d/1XL5vhW3sbDhbH9Cz0tuDiY8C3ctxq1tqvaCgkFb8cCA/edit?usp=sharing"",""อุดรธานี!M280"")"),77930.9)</f>
        <v>77930.899999999994</v>
      </c>
      <c r="O385" s="170">
        <f t="shared" ca="1" si="109"/>
        <v>7.5769941274841512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IFERROR(__xludf.DUMMYFUNCTION("IMPORTRANGE(""https://docs.google.com/spreadsheets/d/1XL5vhW3sbDhbH9Cz0tuDiY8C3ctxq1tqvaCgkFb8cCA/edit?usp=sharing"",""อุดรธานี!M281"")"),18560)</f>
        <v>18560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IFERROR(__xludf.DUMMYFUNCTION("IMPORTRANGE(""https://docs.google.com/spreadsheets/d/1XL5vhW3sbDhbH9Cz0tuDiY8C3ctxq1tqvaCgkFb8cCA/edit?usp=sharing"",""อุดรธานี!M282"")"),0)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IFERROR(__xludf.DUMMYFUNCTION("IMPORTRANGE(""https://docs.google.com/spreadsheets/d/1XL5vhW3sbDhbH9Cz0tuDiY8C3ctxq1tqvaCgkFb8cCA/edit?usp=sharing"",""อุดรธานี!M283"")"),52756.9)</f>
        <v>52756.9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IFERROR(__xludf.DUMMYFUNCTION("IMPORTRANGE(""https://docs.google.com/spreadsheets/d/1XL5vhW3sbDhbH9Cz0tuDiY8C3ctxq1tqvaCgkFb8cCA/edit?usp=sharing"",""อุดรธานี!M284"")"),6614)</f>
        <v>6614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IFERROR(__xludf.DUMMYFUNCTION("IMPORTRANGE(""https://docs.google.com/spreadsheets/d/1XL5vhW3sbDhbH9Cz0tuDiY8C3ctxq1tqvaCgkFb8cCA/edit?usp=sharing"",""อุดรธานี!J286"")"),0)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IFERROR(__xludf.DUMMYFUNCTION("IMPORTRANGE(""https://docs.google.com/spreadsheets/d/1XL5vhW3sbDhbH9Cz0tuDiY8C3ctxq1tqvaCgkFb8cCA/edit?usp=sharing"",""อุดรธานี!J287"")"),1)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IFERROR(__xludf.DUMMYFUNCTION("IMPORTRANGE(""https://docs.google.com/spreadsheets/d/1XL5vhW3sbDhbH9Cz0tuDiY8C3ctxq1tqvaCgkFb8cCA/edit?usp=sharing"",""อุดรธานี!J288"")"),1)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IFERROR(__xludf.DUMMYFUNCTION("IMPORTRANGE(""https://docs.google.com/spreadsheets/d/1XL5vhW3sbDhbH9Cz0tuDiY8C3ctxq1tqvaCgkFb8cCA/edit?usp=sharing"",""อุดรธานี!J289"")"),1)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IFERROR(__xludf.DUMMYFUNCTION("IMPORTRANGE(""https://docs.google.com/spreadsheets/d/1XL5vhW3sbDhbH9Cz0tuDiY8C3ctxq1tqvaCgkFb8cCA/edit?usp=sharing"",""อุดรธานี!I291"")"),100)</f>
        <v>100</v>
      </c>
      <c r="J396" s="199">
        <f ca="1">IFERROR(__xludf.DUMMYFUNCTION("IMPORTRANGE(""https://docs.google.com/spreadsheets/d/1XL5vhW3sbDhbH9Cz0tuDiY8C3ctxq1tqvaCgkFb8cCA/edit?usp=sharing"",""อุดรธานี!J291"")"),0)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IFERROR(__xludf.DUMMYFUNCTION("IMPORTRANGE(""https://docs.google.com/spreadsheets/d/1XL5vhW3sbDhbH9Cz0tuDiY8C3ctxq1tqvaCgkFb8cCA/edit?usp=sharing"",""อุดรธานี!I292"")"),1000)</f>
        <v>1000</v>
      </c>
      <c r="J397" s="199">
        <f ca="1">IFERROR(__xludf.DUMMYFUNCTION("IMPORTRANGE(""https://docs.google.com/spreadsheets/d/1XL5vhW3sbDhbH9Cz0tuDiY8C3ctxq1tqvaCgkFb8cCA/edit?usp=sharing"",""อุดรธานี!J292"")"),0)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IFERROR(__xludf.DUMMYFUNCTION("IMPORTRANGE(""https://docs.google.com/spreadsheets/d/1XL5vhW3sbDhbH9Cz0tuDiY8C3ctxq1tqvaCgkFb8cCA/edit?usp=sharing"",""อุดรธานี!I293"")"),100)</f>
        <v>100</v>
      </c>
      <c r="J398" s="199">
        <f ca="1">IFERROR(__xludf.DUMMYFUNCTION("IMPORTRANGE(""https://docs.google.com/spreadsheets/d/1XL5vhW3sbDhbH9Cz0tuDiY8C3ctxq1tqvaCgkFb8cCA/edit?usp=sharing"",""อุดรธานี!J293"")"),0)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IFERROR(__xludf.DUMMYFUNCTION("IMPORTRANGE(""https://docs.google.com/spreadsheets/d/1XL5vhW3sbDhbH9Cz0tuDiY8C3ctxq1tqvaCgkFb8cCA/edit?usp=sharing"",""อุดรธานี!J294"")"),0)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IFERROR(__xludf.DUMMYFUNCTION("IMPORTRANGE(""https://docs.google.com/spreadsheets/d/1XL5vhW3sbDhbH9Cz0tuDiY8C3ctxq1tqvaCgkFb8cCA/edit?usp=sharing"",""อุดรธานี!M296"")"),35996)</f>
        <v>35996</v>
      </c>
      <c r="O401" s="373">
        <f ca="1">+IF(L401&gt;0,N401*100/L401,0)</f>
        <v>18.374680959673302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IFERROR(__xludf.DUMMYFUNCTION("IMPORTRANGE(""https://docs.google.com/spreadsheets/d/1XL5vhW3sbDhbH9Cz0tuDiY8C3ctxq1tqvaCgkFb8cCA/edit?usp=sharing"",""อุดรธานี!L298"")"),0)</f>
        <v>0</v>
      </c>
      <c r="M403" s="166"/>
      <c r="N403" s="170">
        <f ca="1">IFERROR(__xludf.DUMMYFUNCTION("IMPORTRANGE(""https://docs.google.com/spreadsheets/d/1XL5vhW3sbDhbH9Cz0tuDiY8C3ctxq1tqvaCgkFb8cCA/edit?usp=sharing"",""อุดรธานี!M298"")"),0)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IFERROR(__xludf.DUMMYFUNCTION("IMPORTRANGE(""https://docs.google.com/spreadsheets/d/1XL5vhW3sbDhbH9Cz0tuDiY8C3ctxq1tqvaCgkFb8cCA/edit?usp=sharing"",""อุดรธานี!L299"")"),195900)</f>
        <v>195900</v>
      </c>
      <c r="M404" s="167"/>
      <c r="N404" s="170">
        <f ca="1">IFERROR(__xludf.DUMMYFUNCTION("IMPORTRANGE(""https://docs.google.com/spreadsheets/d/1XL5vhW3sbDhbH9Cz0tuDiY8C3ctxq1tqvaCgkFb8cCA/edit?usp=sharing"",""อุดรธานี!M299"")"),35996)</f>
        <v>35996</v>
      </c>
      <c r="O404" s="170">
        <f t="shared" ca="1" si="112"/>
        <v>18.374680959673302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IFERROR(__xludf.DUMMYFUNCTION("IMPORTRANGE(""https://docs.google.com/spreadsheets/d/1XL5vhW3sbDhbH9Cz0tuDiY8C3ctxq1tqvaCgkFb8cCA/edit?usp=sharing"",""อุดรธานี!L300"")"),0)</f>
        <v>0</v>
      </c>
      <c r="M405" s="170"/>
      <c r="N405" s="170">
        <f ca="1">IFERROR(__xludf.DUMMYFUNCTION("IMPORTRANGE(""https://docs.google.com/spreadsheets/d/1XL5vhW3sbDhbH9Cz0tuDiY8C3ctxq1tqvaCgkFb8cCA/edit?usp=sharing"",""อุดรธานี!M300"")"),0)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IFERROR(__xludf.DUMMYFUNCTION("IMPORTRANGE(""https://docs.google.com/spreadsheets/d/1XL5vhW3sbDhbH9Cz0tuDiY8C3ctxq1tqvaCgkFb8cCA/edit?usp=sharing"",""อุดรธานี!L301"")"),195900)</f>
        <v>195900</v>
      </c>
      <c r="M406" s="170"/>
      <c r="N406" s="170">
        <f ca="1">IFERROR(__xludf.DUMMYFUNCTION("IMPORTRANGE(""https://docs.google.com/spreadsheets/d/1XL5vhW3sbDhbH9Cz0tuDiY8C3ctxq1tqvaCgkFb8cCA/edit?usp=sharing"",""อุดรธานี!M301"")"),35996)</f>
        <v>35996</v>
      </c>
      <c r="O406" s="170">
        <f t="shared" ca="1" si="112"/>
        <v>18.374680959673302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IFERROR(__xludf.DUMMYFUNCTION("IMPORTRANGE(""https://docs.google.com/spreadsheets/d/1XL5vhW3sbDhbH9Cz0tuDiY8C3ctxq1tqvaCgkFb8cCA/edit?usp=sharing"",""อุดรธานี!M302"")"),25376)</f>
        <v>25376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IFERROR(__xludf.DUMMYFUNCTION("IMPORTRANGE(""https://docs.google.com/spreadsheets/d/1XL5vhW3sbDhbH9Cz0tuDiY8C3ctxq1tqvaCgkFb8cCA/edit?usp=sharing"",""อุดรธานี!M303"")"),0)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IFERROR(__xludf.DUMMYFUNCTION("IMPORTRANGE(""https://docs.google.com/spreadsheets/d/1XL5vhW3sbDhbH9Cz0tuDiY8C3ctxq1tqvaCgkFb8cCA/edit?usp=sharing"",""อุดรธานี!M305"")"),10620)</f>
        <v>10620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IFERROR(__xludf.DUMMYFUNCTION("IMPORTRANGE(""https://docs.google.com/spreadsheets/d/1XL5vhW3sbDhbH9Cz0tuDiY8C3ctxq1tqvaCgkFb8cCA/edit?usp=sharing"",""อุดรธานี!J307"")"),0)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IFERROR(__xludf.DUMMYFUNCTION("IMPORTRANGE(""https://docs.google.com/spreadsheets/d/1XL5vhW3sbDhbH9Cz0tuDiY8C3ctxq1tqvaCgkFb8cCA/edit?usp=sharing"",""อุดรธานี!J308"")"),1)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IFERROR(__xludf.DUMMYFUNCTION("IMPORTRANGE(""https://docs.google.com/spreadsheets/d/1XL5vhW3sbDhbH9Cz0tuDiY8C3ctxq1tqvaCgkFb8cCA/edit?usp=sharing"",""อุดรธานี!J309"")"),1)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IFERROR(__xludf.DUMMYFUNCTION("IMPORTRANGE(""https://docs.google.com/spreadsheets/d/1XL5vhW3sbDhbH9Cz0tuDiY8C3ctxq1tqvaCgkFb8cCA/edit?usp=sharing"",""อุดรธานี!J310"")"),0)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IFERROR(__xludf.DUMMYFUNCTION("IMPORTRANGE(""https://docs.google.com/spreadsheets/d/1XL5vhW3sbDhbH9Cz0tuDiY8C3ctxq1tqvaCgkFb8cCA/edit?usp=sharing"",""อุดรธานี!I311"")"),58)</f>
        <v>58</v>
      </c>
      <c r="J416" s="202">
        <f ca="1">IFERROR(__xludf.DUMMYFUNCTION("IMPORTRANGE(""https://docs.google.com/spreadsheets/d/1XL5vhW3sbDhbH9Cz0tuDiY8C3ctxq1tqvaCgkFb8cCA/edit?usp=sharing"",""อุดรธานี!J311"")"),0)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IFERROR(__xludf.DUMMYFUNCTION("IMPORTRANGE(""https://docs.google.com/spreadsheets/d/1XL5vhW3sbDhbH9Cz0tuDiY8C3ctxq1tqvaCgkFb8cCA/edit?usp=sharing"",""อุดรธานี!J328"")"),0)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IFERROR(__xludf.DUMMYFUNCTION("IMPORTRANGE(""https://docs.google.com/spreadsheets/d/1XL5vhW3sbDhbH9Cz0tuDiY8C3ctxq1tqvaCgkFb8cCA/edit?usp=sharing"",""อุดรธานี!M330"")"),70367)</f>
        <v>70367</v>
      </c>
      <c r="O435" s="412">
        <f t="shared" ref="O435:O439" ca="1" si="114">+IF(L435&gt;0,N435*100/L435,0)</f>
        <v>70.367000000000004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IFERROR(__xludf.DUMMYFUNCTION("IMPORTRANGE(""https://docs.google.com/spreadsheets/d/1XL5vhW3sbDhbH9Cz0tuDiY8C3ctxq1tqvaCgkFb8cCA/edit?usp=sharing"",""อุดรธานี!L331"")"),0)</f>
        <v>0</v>
      </c>
      <c r="M436" s="166"/>
      <c r="N436" s="170">
        <f ca="1">IFERROR(__xludf.DUMMYFUNCTION("IMPORTRANGE(""https://docs.google.com/spreadsheets/d/1XL5vhW3sbDhbH9Cz0tuDiY8C3ctxq1tqvaCgkFb8cCA/edit?usp=sharing"",""อุดรธานี!M331"")"),0)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IFERROR(__xludf.DUMMYFUNCTION("IMPORTRANGE(""https://docs.google.com/spreadsheets/d/1XL5vhW3sbDhbH9Cz0tuDiY8C3ctxq1tqvaCgkFb8cCA/edit?usp=sharing"",""อุดรธานี!L332"")"),100000)</f>
        <v>100000</v>
      </c>
      <c r="M437" s="167"/>
      <c r="N437" s="170">
        <f ca="1">IFERROR(__xludf.DUMMYFUNCTION("IMPORTRANGE(""https://docs.google.com/spreadsheets/d/1XL5vhW3sbDhbH9Cz0tuDiY8C3ctxq1tqvaCgkFb8cCA/edit?usp=sharing"",""อุดรธานี!M332"")"),70367)</f>
        <v>70367</v>
      </c>
      <c r="O437" s="170">
        <f t="shared" ca="1" si="114"/>
        <v>70.367000000000004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IFERROR(__xludf.DUMMYFUNCTION("IMPORTRANGE(""https://docs.google.com/spreadsheets/d/1XL5vhW3sbDhbH9Cz0tuDiY8C3ctxq1tqvaCgkFb8cCA/edit?usp=sharing"",""อุดรธานี!L333"")"),0)</f>
        <v>0</v>
      </c>
      <c r="M438" s="170"/>
      <c r="N438" s="170">
        <f ca="1">IFERROR(__xludf.DUMMYFUNCTION("IMPORTRANGE(""https://docs.google.com/spreadsheets/d/1XL5vhW3sbDhbH9Cz0tuDiY8C3ctxq1tqvaCgkFb8cCA/edit?usp=sharing"",""อุดรธานี!M333"")"),0)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IFERROR(__xludf.DUMMYFUNCTION("IMPORTRANGE(""https://docs.google.com/spreadsheets/d/1XL5vhW3sbDhbH9Cz0tuDiY8C3ctxq1tqvaCgkFb8cCA/edit?usp=sharing"",""อุดรธานี!L334"")"),100000)</f>
        <v>100000</v>
      </c>
      <c r="M439" s="170"/>
      <c r="N439" s="170">
        <f ca="1">IFERROR(__xludf.DUMMYFUNCTION("IMPORTRANGE(""https://docs.google.com/spreadsheets/d/1XL5vhW3sbDhbH9Cz0tuDiY8C3ctxq1tqvaCgkFb8cCA/edit?usp=sharing"",""อุดรธานี!M334"")"),70367)</f>
        <v>70367</v>
      </c>
      <c r="O439" s="170">
        <f t="shared" ca="1" si="114"/>
        <v>70.367000000000004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IFERROR(__xludf.DUMMYFUNCTION("IMPORTRANGE(""https://docs.google.com/spreadsheets/d/1XL5vhW3sbDhbH9Cz0tuDiY8C3ctxq1tqvaCgkFb8cCA/edit?usp=sharing"",""อุดรธานี!M338"")"),29077)</f>
        <v>29077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IFERROR(__xludf.DUMMYFUNCTION("IMPORTRANGE(""https://docs.google.com/spreadsheets/d/1XL5vhW3sbDhbH9Cz0tuDiY8C3ctxq1tqvaCgkFb8cCA/edit?usp=sharing"",""อุดรธานี!J342"")"),1)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IFERROR(__xludf.DUMMYFUNCTION("IMPORTRANGE(""https://docs.google.com/spreadsheets/d/1XL5vhW3sbDhbH9Cz0tuDiY8C3ctxq1tqvaCgkFb8cCA/edit?usp=sharing"",""อุดรธานี!J343"")"),1)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2">
        <f ca="1">IFERROR(__xludf.DUMMYFUNCTION("IMPORTRANGE(""https://docs.google.com/spreadsheets/d/1XL5vhW3sbDhbH9Cz0tuDiY8C3ctxq1tqvaCgkFb8cCA/edit?usp=sharing"",""อุดรธานี!J344"")"),20)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IFERROR(__xludf.DUMMYFUNCTION("IMPORTRANGE(""https://docs.google.com/spreadsheets/d/1XL5vhW3sbDhbH9Cz0tuDiY8C3ctxq1tqvaCgkFb8cCA/edit?usp=sharing"",""อุดรธานี!I345"")"),20)</f>
        <v>20</v>
      </c>
      <c r="J450" s="190">
        <f ca="1">IFERROR(__xludf.DUMMYFUNCTION("IMPORTRANGE(""https://docs.google.com/spreadsheets/d/1XL5vhW3sbDhbH9Cz0tuDiY8C3ctxq1tqvaCgkFb8cCA/edit?usp=sharing"",""อุดรธานี!J345"")"),20)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IFERROR(__xludf.DUMMYFUNCTION("IMPORTRANGE(""https://docs.google.com/spreadsheets/d/1XL5vhW3sbDhbH9Cz0tuDiY8C3ctxq1tqvaCgkFb8cCA/edit?usp=sharing"",""อุดรธานี!I346"")"),0)</f>
        <v>0</v>
      </c>
      <c r="J451" s="189">
        <f ca="1">IFERROR(__xludf.DUMMYFUNCTION("IMPORTRANGE(""https://docs.google.com/spreadsheets/d/1XL5vhW3sbDhbH9Cz0tuDiY8C3ctxq1tqvaCgkFb8cCA/edit?usp=sharing"",""อุดรธานี!J346"")"),0)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IFERROR(__xludf.DUMMYFUNCTION("IMPORTRANGE(""https://docs.google.com/spreadsheets/d/1XL5vhW3sbDhbH9Cz0tuDiY8C3ctxq1tqvaCgkFb8cCA/edit?usp=sharing"",""อุดรธานี!I347"")"),0)</f>
        <v>0</v>
      </c>
      <c r="J452" s="189">
        <f ca="1">IFERROR(__xludf.DUMMYFUNCTION("IMPORTRANGE(""https://docs.google.com/spreadsheets/d/1XL5vhW3sbDhbH9Cz0tuDiY8C3ctxq1tqvaCgkFb8cCA/edit?usp=sharing"",""อุดรธานี!J347"")"),0)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IFERROR(__xludf.DUMMYFUNCTION("IMPORTRANGE(""https://docs.google.com/spreadsheets/d/1XL5vhW3sbDhbH9Cz0tuDiY8C3ctxq1tqvaCgkFb8cCA/edit?usp=sharing"",""อุดรธานี!J348"")"),0)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IFERROR(__xludf.DUMMYFUNCTION("IMPORTRANGE(""https://docs.google.com/spreadsheets/d/1XL5vhW3sbDhbH9Cz0tuDiY8C3ctxq1tqvaCgkFb8cCA/edit?usp=sharing"",""อุดรธานี!L350"")"),310551)</f>
        <v>310551</v>
      </c>
      <c r="M455" s="373"/>
      <c r="N455" s="373">
        <f ca="1">IFERROR(__xludf.DUMMYFUNCTION("IMPORTRANGE(""https://docs.google.com/spreadsheets/d/1XL5vhW3sbDhbH9Cz0tuDiY8C3ctxq1tqvaCgkFb8cCA/edit?usp=sharing"",""อุดรธานี!M350"")"),64010)</f>
        <v>64010</v>
      </c>
      <c r="O455" s="373">
        <f t="shared" ref="O455:O459" ca="1" si="116">+IF(L455&gt;0,N455*100/L455,0)</f>
        <v>20.611751370950344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IFERROR(__xludf.DUMMYFUNCTION("IMPORTRANGE(""https://docs.google.com/spreadsheets/d/1XL5vhW3sbDhbH9Cz0tuDiY8C3ctxq1tqvaCgkFb8cCA/edit?usp=sharing"",""อุดรธานี!L351"")"),0)</f>
        <v>0</v>
      </c>
      <c r="M456" s="166"/>
      <c r="N456" s="170">
        <f ca="1">IFERROR(__xludf.DUMMYFUNCTION("IMPORTRANGE(""https://docs.google.com/spreadsheets/d/1XL5vhW3sbDhbH9Cz0tuDiY8C3ctxq1tqvaCgkFb8cCA/edit?usp=sharing"",""อุดรธานี!M351"")"),0)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IFERROR(__xludf.DUMMYFUNCTION("IMPORTRANGE(""https://docs.google.com/spreadsheets/d/1XL5vhW3sbDhbH9Cz0tuDiY8C3ctxq1tqvaCgkFb8cCA/edit?usp=sharing"",""อุดรธานี!L352"")"),310551)</f>
        <v>310551</v>
      </c>
      <c r="M457" s="167"/>
      <c r="N457" s="170">
        <f ca="1">IFERROR(__xludf.DUMMYFUNCTION("IMPORTRANGE(""https://docs.google.com/spreadsheets/d/1XL5vhW3sbDhbH9Cz0tuDiY8C3ctxq1tqvaCgkFb8cCA/edit?usp=sharing"",""อุดรธานี!M352"")"),64010)</f>
        <v>64010</v>
      </c>
      <c r="O457" s="170">
        <f t="shared" ca="1" si="116"/>
        <v>20.611751370950344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IFERROR(__xludf.DUMMYFUNCTION("IMPORTRANGE(""https://docs.google.com/spreadsheets/d/1XL5vhW3sbDhbH9Cz0tuDiY8C3ctxq1tqvaCgkFb8cCA/edit?usp=sharing"",""อุดรธานี!L353"")"),0)</f>
        <v>0</v>
      </c>
      <c r="M458" s="170"/>
      <c r="N458" s="170">
        <f ca="1">IFERROR(__xludf.DUMMYFUNCTION("IMPORTRANGE(""https://docs.google.com/spreadsheets/d/1XL5vhW3sbDhbH9Cz0tuDiY8C3ctxq1tqvaCgkFb8cCA/edit?usp=sharing"",""อุดรธานี!M353"")"),0)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IFERROR(__xludf.DUMMYFUNCTION("IMPORTRANGE(""https://docs.google.com/spreadsheets/d/1XL5vhW3sbDhbH9Cz0tuDiY8C3ctxq1tqvaCgkFb8cCA/edit?usp=sharing"",""อุดรธานี!L354"")"),310551)</f>
        <v>310551</v>
      </c>
      <c r="M459" s="170"/>
      <c r="N459" s="170">
        <f ca="1">IFERROR(__xludf.DUMMYFUNCTION("IMPORTRANGE(""https://docs.google.com/spreadsheets/d/1XL5vhW3sbDhbH9Cz0tuDiY8C3ctxq1tqvaCgkFb8cCA/edit?usp=sharing"",""อุดรธานี!M354"")"),64010)</f>
        <v>64010</v>
      </c>
      <c r="O459" s="170">
        <f t="shared" ca="1" si="116"/>
        <v>20.611751370950344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IFERROR(__xludf.DUMMYFUNCTION("IMPORTRANGE(""https://docs.google.com/spreadsheets/d/1XL5vhW3sbDhbH9Cz0tuDiY8C3ctxq1tqvaCgkFb8cCA/edit?usp=sharing"",""อุดรธานี!M355"")"),0)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IFERROR(__xludf.DUMMYFUNCTION("IMPORTRANGE(""https://docs.google.com/spreadsheets/d/1XL5vhW3sbDhbH9Cz0tuDiY8C3ctxq1tqvaCgkFb8cCA/edit?usp=sharing"",""อุดรธานี!M356"")"),0)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IFERROR(__xludf.DUMMYFUNCTION("IMPORTRANGE(""https://docs.google.com/spreadsheets/d/1XL5vhW3sbDhbH9Cz0tuDiY8C3ctxq1tqvaCgkFb8cCA/edit?usp=sharing"",""อุดรธานี!M358"")"),64010)</f>
        <v>64010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IFERROR(__xludf.DUMMYFUNCTION("IMPORTRANGE(""https://docs.google.com/spreadsheets/d/1XL5vhW3sbDhbH9Cz0tuDiY8C3ctxq1tqvaCgkFb8cCA/edit?usp=sharing"",""อุดรธานี!J360"")"),14013)</f>
        <v>14013</v>
      </c>
      <c r="K465" s="203">
        <f t="shared" ca="1" si="117"/>
        <v>44.574864013741767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IFERROR(__xludf.DUMMYFUNCTION("IMPORTRANGE(""https://docs.google.com/spreadsheets/d/1XL5vhW3sbDhbH9Cz0tuDiY8C3ctxq1tqvaCgkFb8cCA/edit?usp=sharing"",""อุดรธานี!J361"")"),823)</f>
        <v>823</v>
      </c>
      <c r="K466" s="203">
        <f t="shared" ca="1" si="117"/>
        <v>33.757178014766204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IFERROR(__xludf.DUMMYFUNCTION("IMPORTRANGE(""https://docs.google.com/spreadsheets/d/1XL5vhW3sbDhbH9Cz0tuDiY8C3ctxq1tqvaCgkFb8cCA/edit?usp=sharing"",""อุดรธานี!I362"")"),0)</f>
        <v>0</v>
      </c>
      <c r="J467" s="190">
        <f ca="1">IFERROR(__xludf.DUMMYFUNCTION("IMPORTRANGE(""https://docs.google.com/spreadsheets/d/1XL5vhW3sbDhbH9Cz0tuDiY8C3ctxq1tqvaCgkFb8cCA/edit?usp=sharing"",""อุดรธานี!J362"")"),11694)</f>
        <v>11694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IFERROR(__xludf.DUMMYFUNCTION("IMPORTRANGE(""https://docs.google.com/spreadsheets/d/1XL5vhW3sbDhbH9Cz0tuDiY8C3ctxq1tqvaCgkFb8cCA/edit?usp=sharing"",""อุดรธานี!I363"")"),0)</f>
        <v>0</v>
      </c>
      <c r="J468" s="190">
        <f ca="1">IFERROR(__xludf.DUMMYFUNCTION("IMPORTRANGE(""https://docs.google.com/spreadsheets/d/1XL5vhW3sbDhbH9Cz0tuDiY8C3ctxq1tqvaCgkFb8cCA/edit?usp=sharing"",""อุดรธานี!J363"")"),695)</f>
        <v>695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IFERROR(__xludf.DUMMYFUNCTION("IMPORTRANGE(""https://docs.google.com/spreadsheets/d/1XL5vhW3sbDhbH9Cz0tuDiY8C3ctxq1tqvaCgkFb8cCA/edit?usp=sharing"",""อุดรธานี!I364"")"),0)</f>
        <v>0</v>
      </c>
      <c r="J469" s="190">
        <f ca="1">IFERROR(__xludf.DUMMYFUNCTION("IMPORTRANGE(""https://docs.google.com/spreadsheets/d/1XL5vhW3sbDhbH9Cz0tuDiY8C3ctxq1tqvaCgkFb8cCA/edit?usp=sharing"",""อุดรธานี!J364"")"),1150)</f>
        <v>1150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IFERROR(__xludf.DUMMYFUNCTION("IMPORTRANGE(""https://docs.google.com/spreadsheets/d/1XL5vhW3sbDhbH9Cz0tuDiY8C3ctxq1tqvaCgkFb8cCA/edit?usp=sharing"",""อุดรธานี!I365"")"),0)</f>
        <v>0</v>
      </c>
      <c r="J470" s="190">
        <f ca="1">IFERROR(__xludf.DUMMYFUNCTION("IMPORTRANGE(""https://docs.google.com/spreadsheets/d/1XL5vhW3sbDhbH9Cz0tuDiY8C3ctxq1tqvaCgkFb8cCA/edit?usp=sharing"",""อุดรธานี!J365"")"),67)</f>
        <v>67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IFERROR(__xludf.DUMMYFUNCTION("IMPORTRANGE(""https://docs.google.com/spreadsheets/d/1XL5vhW3sbDhbH9Cz0tuDiY8C3ctxq1tqvaCgkFb8cCA/edit?usp=sharing"",""อุดรธานี!I366"")"),0)</f>
        <v>0</v>
      </c>
      <c r="J471" s="190">
        <f ca="1">IFERROR(__xludf.DUMMYFUNCTION("IMPORTRANGE(""https://docs.google.com/spreadsheets/d/1XL5vhW3sbDhbH9Cz0tuDiY8C3ctxq1tqvaCgkFb8cCA/edit?usp=sharing"",""อุดรธานี!J366"")"),1169)</f>
        <v>1169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IFERROR(__xludf.DUMMYFUNCTION("IMPORTRANGE(""https://docs.google.com/spreadsheets/d/1XL5vhW3sbDhbH9Cz0tuDiY8C3ctxq1tqvaCgkFb8cCA/edit?usp=sharing"",""อุดรธานี!I367"")"),0)</f>
        <v>0</v>
      </c>
      <c r="J472" s="190">
        <f ca="1">IFERROR(__xludf.DUMMYFUNCTION("IMPORTRANGE(""https://docs.google.com/spreadsheets/d/1XL5vhW3sbDhbH9Cz0tuDiY8C3ctxq1tqvaCgkFb8cCA/edit?usp=sharing"",""อุดรธานี!J367"")"),61)</f>
        <v>61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IFERROR(__xludf.DUMMYFUNCTION("IMPORTRANGE(""https://docs.google.com/spreadsheets/d/1XL5vhW3sbDhbH9Cz0tuDiY8C3ctxq1tqvaCgkFb8cCA/edit?usp=sharing"",""อุดรธานี!I370"")"),0)</f>
        <v>0</v>
      </c>
      <c r="J475" s="190">
        <f ca="1">IFERROR(__xludf.DUMMYFUNCTION("IMPORTRANGE(""https://docs.google.com/spreadsheets/d/1XL5vhW3sbDhbH9Cz0tuDiY8C3ctxq1tqvaCgkFb8cCA/edit?usp=sharing"",""อุดรธานี!J370"")"),0)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IFERROR(__xludf.DUMMYFUNCTION("IMPORTRANGE(""https://docs.google.com/spreadsheets/d/1XL5vhW3sbDhbH9Cz0tuDiY8C3ctxq1tqvaCgkFb8cCA/edit?usp=sharing"",""อุดรธานี!I371"")"),0)</f>
        <v>0</v>
      </c>
      <c r="J476" s="190">
        <f ca="1">IFERROR(__xludf.DUMMYFUNCTION("IMPORTRANGE(""https://docs.google.com/spreadsheets/d/1XL5vhW3sbDhbH9Cz0tuDiY8C3ctxq1tqvaCgkFb8cCA/edit?usp=sharing"",""อุดรธานี!J371"")"),0)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IFERROR(__xludf.DUMMYFUNCTION("IMPORTRANGE(""https://docs.google.com/spreadsheets/d/1XL5vhW3sbDhbH9Cz0tuDiY8C3ctxq1tqvaCgkFb8cCA/edit?usp=sharing"",""อุดรธานี!I372"")"),0)</f>
        <v>0</v>
      </c>
      <c r="J477" s="190">
        <f ca="1">IFERROR(__xludf.DUMMYFUNCTION("IMPORTRANGE(""https://docs.google.com/spreadsheets/d/1XL5vhW3sbDhbH9Cz0tuDiY8C3ctxq1tqvaCgkFb8cCA/edit?usp=sharing"",""อุดรธานี!J372"")"),0)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IFERROR(__xludf.DUMMYFUNCTION("IMPORTRANGE(""https://docs.google.com/spreadsheets/d/1XL5vhW3sbDhbH9Cz0tuDiY8C3ctxq1tqvaCgkFb8cCA/edit?usp=sharing"",""อุดรธานี!I373"")"),0)</f>
        <v>0</v>
      </c>
      <c r="J478" s="190">
        <f ca="1">IFERROR(__xludf.DUMMYFUNCTION("IMPORTRANGE(""https://docs.google.com/spreadsheets/d/1XL5vhW3sbDhbH9Cz0tuDiY8C3ctxq1tqvaCgkFb8cCA/edit?usp=sharing"",""อุดรธานี!J373"")"),0)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IFERROR(__xludf.DUMMYFUNCTION("IMPORTRANGE(""https://docs.google.com/spreadsheets/d/1XL5vhW3sbDhbH9Cz0tuDiY8C3ctxq1tqvaCgkFb8cCA/edit?usp=sharing"",""อุดรธานี!I374"")"),0)</f>
        <v>0</v>
      </c>
      <c r="J479" s="190">
        <f ca="1">IFERROR(__xludf.DUMMYFUNCTION("IMPORTRANGE(""https://docs.google.com/spreadsheets/d/1XL5vhW3sbDhbH9Cz0tuDiY8C3ctxq1tqvaCgkFb8cCA/edit?usp=sharing"",""อุดรธานี!J374"")"),0)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IFERROR(__xludf.DUMMYFUNCTION("IMPORTRANGE(""https://docs.google.com/spreadsheets/d/1XL5vhW3sbDhbH9Cz0tuDiY8C3ctxq1tqvaCgkFb8cCA/edit?usp=sharing"",""อุดรธานี!I375"")"),0)</f>
        <v>0</v>
      </c>
      <c r="J480" s="190">
        <f ca="1">IFERROR(__xludf.DUMMYFUNCTION("IMPORTRANGE(""https://docs.google.com/spreadsheets/d/1XL5vhW3sbDhbH9Cz0tuDiY8C3ctxq1tqvaCgkFb8cCA/edit?usp=sharing"",""อุดรธานี!J375"")"),0)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IFERROR(__xludf.DUMMYFUNCTION("IMPORTRANGE(""https://docs.google.com/spreadsheets/d/1XL5vhW3sbDhbH9Cz0tuDiY8C3ctxq1tqvaCgkFb8cCA/edit?usp=sharing"",""อุดรธานี!I378"")"),0)</f>
        <v>0</v>
      </c>
      <c r="J483" s="190">
        <f ca="1">IFERROR(__xludf.DUMMYFUNCTION("IMPORTRANGE(""https://docs.google.com/spreadsheets/d/1XL5vhW3sbDhbH9Cz0tuDiY8C3ctxq1tqvaCgkFb8cCA/edit?usp=sharing"",""อุดรธานี!J378"")"),0)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IFERROR(__xludf.DUMMYFUNCTION("IMPORTRANGE(""https://docs.google.com/spreadsheets/d/1XL5vhW3sbDhbH9Cz0tuDiY8C3ctxq1tqvaCgkFb8cCA/edit?usp=sharing"",""อุดรธานี!I379"")"),0)</f>
        <v>0</v>
      </c>
      <c r="J484" s="190">
        <f ca="1">IFERROR(__xludf.DUMMYFUNCTION("IMPORTRANGE(""https://docs.google.com/spreadsheets/d/1XL5vhW3sbDhbH9Cz0tuDiY8C3ctxq1tqvaCgkFb8cCA/edit?usp=sharing"",""อุดรธานี!J379"")"),0)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IFERROR(__xludf.DUMMYFUNCTION("IMPORTRANGE(""https://docs.google.com/spreadsheets/d/1XL5vhW3sbDhbH9Cz0tuDiY8C3ctxq1tqvaCgkFb8cCA/edit?usp=sharing"",""อุดรธานี!I380"")"),0)</f>
        <v>0</v>
      </c>
      <c r="J485" s="190">
        <f ca="1">IFERROR(__xludf.DUMMYFUNCTION("IMPORTRANGE(""https://docs.google.com/spreadsheets/d/1XL5vhW3sbDhbH9Cz0tuDiY8C3ctxq1tqvaCgkFb8cCA/edit?usp=sharing"",""อุดรธานี!J380"")"),0)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IFERROR(__xludf.DUMMYFUNCTION("IMPORTRANGE(""https://docs.google.com/spreadsheets/d/1XL5vhW3sbDhbH9Cz0tuDiY8C3ctxq1tqvaCgkFb8cCA/edit?usp=sharing"",""อุดรธานี!I381"")"),0)</f>
        <v>0</v>
      </c>
      <c r="J486" s="190">
        <f ca="1">IFERROR(__xludf.DUMMYFUNCTION("IMPORTRANGE(""https://docs.google.com/spreadsheets/d/1XL5vhW3sbDhbH9Cz0tuDiY8C3ctxq1tqvaCgkFb8cCA/edit?usp=sharing"",""อุดรธานี!J381"")"),0)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IFERROR(__xludf.DUMMYFUNCTION("IMPORTRANGE(""https://docs.google.com/spreadsheets/d/1XL5vhW3sbDhbH9Cz0tuDiY8C3ctxq1tqvaCgkFb8cCA/edit?usp=sharing"",""อุดรธานี!I384"")"),0)</f>
        <v>0</v>
      </c>
      <c r="J489" s="190">
        <f ca="1">IFERROR(__xludf.DUMMYFUNCTION("IMPORTRANGE(""https://docs.google.com/spreadsheets/d/1XL5vhW3sbDhbH9Cz0tuDiY8C3ctxq1tqvaCgkFb8cCA/edit?usp=sharing"",""อุดรธานี!J384"")"),0)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IFERROR(__xludf.DUMMYFUNCTION("IMPORTRANGE(""https://docs.google.com/spreadsheets/d/1XL5vhW3sbDhbH9Cz0tuDiY8C3ctxq1tqvaCgkFb8cCA/edit?usp=sharing"",""อุดรธานี!I385"")"),0)</f>
        <v>0</v>
      </c>
      <c r="J490" s="190">
        <f ca="1">IFERROR(__xludf.DUMMYFUNCTION("IMPORTRANGE(""https://docs.google.com/spreadsheets/d/1XL5vhW3sbDhbH9Cz0tuDiY8C3ctxq1tqvaCgkFb8cCA/edit?usp=sharing"",""อุดรธานี!J385"")"),0)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IFERROR(__xludf.DUMMYFUNCTION("IMPORTRANGE(""https://docs.google.com/spreadsheets/d/1XL5vhW3sbDhbH9Cz0tuDiY8C3ctxq1tqvaCgkFb8cCA/edit?usp=sharing"",""อุดรธานี!I386"")"),0)</f>
        <v>0</v>
      </c>
      <c r="J491" s="190">
        <f ca="1">IFERROR(__xludf.DUMMYFUNCTION("IMPORTRANGE(""https://docs.google.com/spreadsheets/d/1XL5vhW3sbDhbH9Cz0tuDiY8C3ctxq1tqvaCgkFb8cCA/edit?usp=sharing"",""อุดรธานี!J386"")"),0)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IFERROR(__xludf.DUMMYFUNCTION("IMPORTRANGE(""https://docs.google.com/spreadsheets/d/1XL5vhW3sbDhbH9Cz0tuDiY8C3ctxq1tqvaCgkFb8cCA/edit?usp=sharing"",""อุดรธานี!I387"")"),0)</f>
        <v>0</v>
      </c>
      <c r="J492" s="190">
        <f ca="1">IFERROR(__xludf.DUMMYFUNCTION("IMPORTRANGE(""https://docs.google.com/spreadsheets/d/1XL5vhW3sbDhbH9Cz0tuDiY8C3ctxq1tqvaCgkFb8cCA/edit?usp=sharing"",""อุดรธานี!J387"")"),0)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IFERROR(__xludf.DUMMYFUNCTION("IMPORTRANGE(""https://docs.google.com/spreadsheets/d/1XL5vhW3sbDhbH9Cz0tuDiY8C3ctxq1tqvaCgkFb8cCA/edit?usp=sharing"",""อุดรธานี!I388"")"),0)</f>
        <v>0</v>
      </c>
      <c r="J493" s="190">
        <f ca="1">IFERROR(__xludf.DUMMYFUNCTION("IMPORTRANGE(""https://docs.google.com/spreadsheets/d/1XL5vhW3sbDhbH9Cz0tuDiY8C3ctxq1tqvaCgkFb8cCA/edit?usp=sharing"",""อุดรธานี!J388"")"),0)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IFERROR(__xludf.DUMMYFUNCTION("IMPORTRANGE(""https://docs.google.com/spreadsheets/d/1XL5vhW3sbDhbH9Cz0tuDiY8C3ctxq1tqvaCgkFb8cCA/edit?usp=sharing"",""อุดรธานี!I395"")"),0)</f>
        <v>0</v>
      </c>
      <c r="J500" s="164">
        <f ca="1">IFERROR(__xludf.DUMMYFUNCTION("IMPORTRANGE(""https://docs.google.com/spreadsheets/d/1XL5vhW3sbDhbH9Cz0tuDiY8C3ctxq1tqvaCgkFb8cCA/edit?usp=sharing"",""อุดรธานี!J395"")"),0)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IFERROR(__xludf.DUMMYFUNCTION("IMPORTRANGE(""https://docs.google.com/spreadsheets/d/1XL5vhW3sbDhbH9Cz0tuDiY8C3ctxq1tqvaCgkFb8cCA/edit?usp=sharing"",""อุดรธานี!I396"")"),0)</f>
        <v>0</v>
      </c>
      <c r="J501" s="164">
        <f ca="1">IFERROR(__xludf.DUMMYFUNCTION("IMPORTRANGE(""https://docs.google.com/spreadsheets/d/1XL5vhW3sbDhbH9Cz0tuDiY8C3ctxq1tqvaCgkFb8cCA/edit?usp=sharing"",""อุดรธานี!J396"")"),0)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IFERROR(__xludf.DUMMYFUNCTION("IMPORTRANGE(""https://docs.google.com/spreadsheets/d/1XL5vhW3sbDhbH9Cz0tuDiY8C3ctxq1tqvaCgkFb8cCA/edit?usp=sharing"",""อุดรธานี!I397"")"),0)</f>
        <v>0</v>
      </c>
      <c r="J502" s="190">
        <f ca="1">IFERROR(__xludf.DUMMYFUNCTION("IMPORTRANGE(""https://docs.google.com/spreadsheets/d/1XL5vhW3sbDhbH9Cz0tuDiY8C3ctxq1tqvaCgkFb8cCA/edit?usp=sharing"",""อุดรธานี!J397"")"),0)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IFERROR(__xludf.DUMMYFUNCTION("IMPORTRANGE(""https://docs.google.com/spreadsheets/d/1XL5vhW3sbDhbH9Cz0tuDiY8C3ctxq1tqvaCgkFb8cCA/edit?usp=sharing"",""อุดรธานี!I398"")"),0)</f>
        <v>0</v>
      </c>
      <c r="J503" s="199">
        <f ca="1">IFERROR(__xludf.DUMMYFUNCTION("IMPORTRANGE(""https://docs.google.com/spreadsheets/d/1XL5vhW3sbDhbH9Cz0tuDiY8C3ctxq1tqvaCgkFb8cCA/edit?usp=sharing"",""อุดรธานี!J398"")"),0)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IFERROR(__xludf.DUMMYFUNCTION("IMPORTRANGE(""https://docs.google.com/spreadsheets/d/1XL5vhW3sbDhbH9Cz0tuDiY8C3ctxq1tqvaCgkFb8cCA/edit?usp=sharing"",""อุดรธานี!I399"")"),0)</f>
        <v>0</v>
      </c>
      <c r="J504" s="190">
        <f ca="1">IFERROR(__xludf.DUMMYFUNCTION("IMPORTRANGE(""https://docs.google.com/spreadsheets/d/1XL5vhW3sbDhbH9Cz0tuDiY8C3ctxq1tqvaCgkFb8cCA/edit?usp=sharing"",""อุดรธานี!J399"")"),0)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IFERROR(__xludf.DUMMYFUNCTION("IMPORTRANGE(""https://docs.google.com/spreadsheets/d/1XL5vhW3sbDhbH9Cz0tuDiY8C3ctxq1tqvaCgkFb8cCA/edit?usp=sharing"",""อุดรธานี!I400"")"),0)</f>
        <v>0</v>
      </c>
      <c r="J505" s="199">
        <f ca="1">IFERROR(__xludf.DUMMYFUNCTION("IMPORTRANGE(""https://docs.google.com/spreadsheets/d/1XL5vhW3sbDhbH9Cz0tuDiY8C3ctxq1tqvaCgkFb8cCA/edit?usp=sharing"",""อุดรธานี!J400"")"),0)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IFERROR(__xludf.DUMMYFUNCTION("IMPORTRANGE(""https://docs.google.com/spreadsheets/d/1XL5vhW3sbDhbH9Cz0tuDiY8C3ctxq1tqvaCgkFb8cCA/edit?usp=sharing"",""อุดรธานี!I401"")"),0)</f>
        <v>0</v>
      </c>
      <c r="J506" s="190">
        <f ca="1">IFERROR(__xludf.DUMMYFUNCTION("IMPORTRANGE(""https://docs.google.com/spreadsheets/d/1XL5vhW3sbDhbH9Cz0tuDiY8C3ctxq1tqvaCgkFb8cCA/edit?usp=sharing"",""อุดรธานี!J401"")"),0)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IFERROR(__xludf.DUMMYFUNCTION("IMPORTRANGE(""https://docs.google.com/spreadsheets/d/1XL5vhW3sbDhbH9Cz0tuDiY8C3ctxq1tqvaCgkFb8cCA/edit?usp=sharing"",""อุดรธานี!I402"")"),0)</f>
        <v>0</v>
      </c>
      <c r="J507" s="199">
        <f ca="1">IFERROR(__xludf.DUMMYFUNCTION("IMPORTRANGE(""https://docs.google.com/spreadsheets/d/1XL5vhW3sbDhbH9Cz0tuDiY8C3ctxq1tqvaCgkFb8cCA/edit?usp=sharing"",""อุดรธานี!J402"")"),0)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IFERROR(__xludf.DUMMYFUNCTION("IMPORTRANGE(""https://docs.google.com/spreadsheets/d/1XL5vhW3sbDhbH9Cz0tuDiY8C3ctxq1tqvaCgkFb8cCA/edit?usp=sharing"",""อุดรธานี!I403"")"),0)</f>
        <v>0</v>
      </c>
      <c r="J508" s="164">
        <f ca="1">IFERROR(__xludf.DUMMYFUNCTION("IMPORTRANGE(""https://docs.google.com/spreadsheets/d/1XL5vhW3sbDhbH9Cz0tuDiY8C3ctxq1tqvaCgkFb8cCA/edit?usp=sharing"",""อุดรธานี!J403"")"),0)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IFERROR(__xludf.DUMMYFUNCTION("IMPORTRANGE(""https://docs.google.com/spreadsheets/d/1XL5vhW3sbDhbH9Cz0tuDiY8C3ctxq1tqvaCgkFb8cCA/edit?usp=sharing"",""อุดรธานี!I404"")"),0)</f>
        <v>0</v>
      </c>
      <c r="J509" s="164">
        <f ca="1">IFERROR(__xludf.DUMMYFUNCTION("IMPORTRANGE(""https://docs.google.com/spreadsheets/d/1XL5vhW3sbDhbH9Cz0tuDiY8C3ctxq1tqvaCgkFb8cCA/edit?usp=sharing"",""อุดรธานี!J404"")"),0)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IFERROR(__xludf.DUMMYFUNCTION("IMPORTRANGE(""https://docs.google.com/spreadsheets/d/1XL5vhW3sbDhbH9Cz0tuDiY8C3ctxq1tqvaCgkFb8cCA/edit?usp=sharing"",""อุดรธานี!I405"")"),0)</f>
        <v>0</v>
      </c>
      <c r="J510" s="199">
        <f ca="1">IFERROR(__xludf.DUMMYFUNCTION("IMPORTRANGE(""https://docs.google.com/spreadsheets/d/1XL5vhW3sbDhbH9Cz0tuDiY8C3ctxq1tqvaCgkFb8cCA/edit?usp=sharing"",""อุดรธานี!J405"")"),0)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IFERROR(__xludf.DUMMYFUNCTION("IMPORTRANGE(""https://docs.google.com/spreadsheets/d/1XL5vhW3sbDhbH9Cz0tuDiY8C3ctxq1tqvaCgkFb8cCA/edit?usp=sharing"",""อุดรธานี!I406"")"),0)</f>
        <v>0</v>
      </c>
      <c r="J511" s="199">
        <f ca="1">IFERROR(__xludf.DUMMYFUNCTION("IMPORTRANGE(""https://docs.google.com/spreadsheets/d/1XL5vhW3sbDhbH9Cz0tuDiY8C3ctxq1tqvaCgkFb8cCA/edit?usp=sharing"",""อุดรธานี!J406"")"),0)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IFERROR(__xludf.DUMMYFUNCTION("IMPORTRANGE(""https://docs.google.com/spreadsheets/d/1XL5vhW3sbDhbH9Cz0tuDiY8C3ctxq1tqvaCgkFb8cCA/edit?usp=sharing"",""อุดรธานี!I407"")"),0)</f>
        <v>0</v>
      </c>
      <c r="J512" s="199">
        <f ca="1">IFERROR(__xludf.DUMMYFUNCTION("IMPORTRANGE(""https://docs.google.com/spreadsheets/d/1XL5vhW3sbDhbH9Cz0tuDiY8C3ctxq1tqvaCgkFb8cCA/edit?usp=sharing"",""อุดรธานี!J407"")"),0)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IFERROR(__xludf.DUMMYFUNCTION("IMPORTRANGE(""https://docs.google.com/spreadsheets/d/1XL5vhW3sbDhbH9Cz0tuDiY8C3ctxq1tqvaCgkFb8cCA/edit?usp=sharing"",""อุดรธานี!I408"")"),0)</f>
        <v>0</v>
      </c>
      <c r="J513" s="199">
        <f ca="1">IFERROR(__xludf.DUMMYFUNCTION("IMPORTRANGE(""https://docs.google.com/spreadsheets/d/1XL5vhW3sbDhbH9Cz0tuDiY8C3ctxq1tqvaCgkFb8cCA/edit?usp=sharing"",""อุดรธานี!J408"")"),0)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IFERROR(__xludf.DUMMYFUNCTION("IMPORTRANGE(""https://docs.google.com/spreadsheets/d/1XL5vhW3sbDhbH9Cz0tuDiY8C3ctxq1tqvaCgkFb8cCA/edit?usp=sharing"",""อุดรธานี!I409"")"),0)</f>
        <v>0</v>
      </c>
      <c r="J514" s="199">
        <f ca="1">IFERROR(__xludf.DUMMYFUNCTION("IMPORTRANGE(""https://docs.google.com/spreadsheets/d/1XL5vhW3sbDhbH9Cz0tuDiY8C3ctxq1tqvaCgkFb8cCA/edit?usp=sharing"",""อุดรธานี!J409"")"),0)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IFERROR(__xludf.DUMMYFUNCTION("IMPORTRANGE(""https://docs.google.com/spreadsheets/d/1XL5vhW3sbDhbH9Cz0tuDiY8C3ctxq1tqvaCgkFb8cCA/edit?usp=sharing"",""อุดรธานี!I410"")"),0)</f>
        <v>0</v>
      </c>
      <c r="J515" s="199">
        <f ca="1">IFERROR(__xludf.DUMMYFUNCTION("IMPORTRANGE(""https://docs.google.com/spreadsheets/d/1XL5vhW3sbDhbH9Cz0tuDiY8C3ctxq1tqvaCgkFb8cCA/edit?usp=sharing"",""อุดรธานี!J410"")"),0)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IFERROR(__xludf.DUMMYFUNCTION("IMPORTRANGE(""https://docs.google.com/spreadsheets/d/1XL5vhW3sbDhbH9Cz0tuDiY8C3ctxq1tqvaCgkFb8cCA/edit?usp=sharing"",""อุดรธานี!I412"")"),0)</f>
        <v>0</v>
      </c>
      <c r="J517" s="284">
        <f ca="1">IFERROR(__xludf.DUMMYFUNCTION("IMPORTRANGE(""https://docs.google.com/spreadsheets/d/1XL5vhW3sbDhbH9Cz0tuDiY8C3ctxq1tqvaCgkFb8cCA/edit?usp=sharing"",""อุดรธานี!J412"")"),0)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IFERROR(__xludf.DUMMYFUNCTION("IMPORTRANGE(""https://docs.google.com/spreadsheets/d/1XL5vhW3sbDhbH9Cz0tuDiY8C3ctxq1tqvaCgkFb8cCA/edit?usp=sharing"",""อุดรธานี!I413"")"),0)</f>
        <v>0</v>
      </c>
      <c r="J518" s="284">
        <f ca="1">IFERROR(__xludf.DUMMYFUNCTION("IMPORTRANGE(""https://docs.google.com/spreadsheets/d/1XL5vhW3sbDhbH9Cz0tuDiY8C3ctxq1tqvaCgkFb8cCA/edit?usp=sharing"",""อุดรธานี!J413"")"),0)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IFERROR(__xludf.DUMMYFUNCTION("IMPORTRANGE(""https://docs.google.com/spreadsheets/d/1XL5vhW3sbDhbH9Cz0tuDiY8C3ctxq1tqvaCgkFb8cCA/edit?usp=sharing"",""อุดรธานี!I414"")"),0)</f>
        <v>0</v>
      </c>
      <c r="J519" s="189">
        <f ca="1">IFERROR(__xludf.DUMMYFUNCTION("IMPORTRANGE(""https://docs.google.com/spreadsheets/d/1XL5vhW3sbDhbH9Cz0tuDiY8C3ctxq1tqvaCgkFb8cCA/edit?usp=sharing"",""อุดรธานี!J414"")"),0)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IFERROR(__xludf.DUMMYFUNCTION("IMPORTRANGE(""https://docs.google.com/spreadsheets/d/1XL5vhW3sbDhbH9Cz0tuDiY8C3ctxq1tqvaCgkFb8cCA/edit?usp=sharing"",""อุดรธานี!I415"")"),0)</f>
        <v>0</v>
      </c>
      <c r="J520" s="189">
        <f ca="1">IFERROR(__xludf.DUMMYFUNCTION("IMPORTRANGE(""https://docs.google.com/spreadsheets/d/1XL5vhW3sbDhbH9Cz0tuDiY8C3ctxq1tqvaCgkFb8cCA/edit?usp=sharing"",""อุดรธานี!J415"")"),0)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IFERROR(__xludf.DUMMYFUNCTION("IMPORTRANGE(""https://docs.google.com/spreadsheets/d/1XL5vhW3sbDhbH9Cz0tuDiY8C3ctxq1tqvaCgkFb8cCA/edit?usp=sharing"",""อุดรธานี!I416"")"),0)</f>
        <v>0</v>
      </c>
      <c r="J521" s="189">
        <f ca="1">IFERROR(__xludf.DUMMYFUNCTION("IMPORTRANGE(""https://docs.google.com/spreadsheets/d/1XL5vhW3sbDhbH9Cz0tuDiY8C3ctxq1tqvaCgkFb8cCA/edit?usp=sharing"",""อุดรธานี!J416"")"),0)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IFERROR(__xludf.DUMMYFUNCTION("IMPORTRANGE(""https://docs.google.com/spreadsheets/d/1XL5vhW3sbDhbH9Cz0tuDiY8C3ctxq1tqvaCgkFb8cCA/edit?usp=sharing"",""อุดรธานี!I417"")"),0)</f>
        <v>0</v>
      </c>
      <c r="J522" s="189">
        <f ca="1">IFERROR(__xludf.DUMMYFUNCTION("IMPORTRANGE(""https://docs.google.com/spreadsheets/d/1XL5vhW3sbDhbH9Cz0tuDiY8C3ctxq1tqvaCgkFb8cCA/edit?usp=sharing"",""อุดรธานี!J417"")"),0)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IFERROR(__xludf.DUMMYFUNCTION("IMPORTRANGE(""https://docs.google.com/spreadsheets/d/1XL5vhW3sbDhbH9Cz0tuDiY8C3ctxq1tqvaCgkFb8cCA/edit?usp=sharing"",""อุดรธานี!I418"")"),0)</f>
        <v>0</v>
      </c>
      <c r="J523" s="189">
        <f ca="1">IFERROR(__xludf.DUMMYFUNCTION("IMPORTRANGE(""https://docs.google.com/spreadsheets/d/1XL5vhW3sbDhbH9Cz0tuDiY8C3ctxq1tqvaCgkFb8cCA/edit?usp=sharing"",""อุดรธานี!J418"")"),0)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IFERROR(__xludf.DUMMYFUNCTION("IMPORTRANGE(""https://docs.google.com/spreadsheets/d/1XL5vhW3sbDhbH9Cz0tuDiY8C3ctxq1tqvaCgkFb8cCA/edit?usp=sharing"",""อุดรธานี!I419"")"),0)</f>
        <v>0</v>
      </c>
      <c r="J524" s="189">
        <f ca="1">IFERROR(__xludf.DUMMYFUNCTION("IMPORTRANGE(""https://docs.google.com/spreadsheets/d/1XL5vhW3sbDhbH9Cz0tuDiY8C3ctxq1tqvaCgkFb8cCA/edit?usp=sharing"",""อุดรธานี!J419"")"),0)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IFERROR(__xludf.DUMMYFUNCTION("IMPORTRANGE(""https://docs.google.com/spreadsheets/d/1XL5vhW3sbDhbH9Cz0tuDiY8C3ctxq1tqvaCgkFb8cCA/edit?usp=sharing"",""อุดรธานี!I420"")"),0)</f>
        <v>0</v>
      </c>
      <c r="J525" s="284">
        <f ca="1">IFERROR(__xludf.DUMMYFUNCTION("IMPORTRANGE(""https://docs.google.com/spreadsheets/d/1XL5vhW3sbDhbH9Cz0tuDiY8C3ctxq1tqvaCgkFb8cCA/edit?usp=sharing"",""อุดรธานี!J420"")"),0)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IFERROR(__xludf.DUMMYFUNCTION("IMPORTRANGE(""https://docs.google.com/spreadsheets/d/1XL5vhW3sbDhbH9Cz0tuDiY8C3ctxq1tqvaCgkFb8cCA/edit?usp=sharing"",""อุดรธานี!I421"")"),0)</f>
        <v>0</v>
      </c>
      <c r="J526" s="284">
        <f ca="1">IFERROR(__xludf.DUMMYFUNCTION("IMPORTRANGE(""https://docs.google.com/spreadsheets/d/1XL5vhW3sbDhbH9Cz0tuDiY8C3ctxq1tqvaCgkFb8cCA/edit?usp=sharing"",""อุดรธานี!J421"")"),0)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IFERROR(__xludf.DUMMYFUNCTION("IMPORTRANGE(""https://docs.google.com/spreadsheets/d/1XL5vhW3sbDhbH9Cz0tuDiY8C3ctxq1tqvaCgkFb8cCA/edit?usp=sharing"",""อุดรธานี!I422"")"),0)</f>
        <v>0</v>
      </c>
      <c r="J527" s="199">
        <f ca="1">IFERROR(__xludf.DUMMYFUNCTION("IMPORTRANGE(""https://docs.google.com/spreadsheets/d/1XL5vhW3sbDhbH9Cz0tuDiY8C3ctxq1tqvaCgkFb8cCA/edit?usp=sharing"",""อุดรธานี!J422"")"),0)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IFERROR(__xludf.DUMMYFUNCTION("IMPORTRANGE(""https://docs.google.com/spreadsheets/d/1XL5vhW3sbDhbH9Cz0tuDiY8C3ctxq1tqvaCgkFb8cCA/edit?usp=sharing"",""อุดรธานี!I423"")"),0)</f>
        <v>0</v>
      </c>
      <c r="J528" s="199">
        <f ca="1">IFERROR(__xludf.DUMMYFUNCTION("IMPORTRANGE(""https://docs.google.com/spreadsheets/d/1XL5vhW3sbDhbH9Cz0tuDiY8C3ctxq1tqvaCgkFb8cCA/edit?usp=sharing"",""อุดรธานี!J423"")"),0)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IFERROR(__xludf.DUMMYFUNCTION("IMPORTRANGE(""https://docs.google.com/spreadsheets/d/1XL5vhW3sbDhbH9Cz0tuDiY8C3ctxq1tqvaCgkFb8cCA/edit?usp=sharing"",""อุดรธานี!I424"")"),0)</f>
        <v>0</v>
      </c>
      <c r="J529" s="199">
        <f ca="1">IFERROR(__xludf.DUMMYFUNCTION("IMPORTRANGE(""https://docs.google.com/spreadsheets/d/1XL5vhW3sbDhbH9Cz0tuDiY8C3ctxq1tqvaCgkFb8cCA/edit?usp=sharing"",""อุดรธานี!J424"")"),0)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IFERROR(__xludf.DUMMYFUNCTION("IMPORTRANGE(""https://docs.google.com/spreadsheets/d/1XL5vhW3sbDhbH9Cz0tuDiY8C3ctxq1tqvaCgkFb8cCA/edit?usp=sharing"",""อุดรธานี!I425"")"),0)</f>
        <v>0</v>
      </c>
      <c r="J530" s="199">
        <f ca="1">IFERROR(__xludf.DUMMYFUNCTION("IMPORTRANGE(""https://docs.google.com/spreadsheets/d/1XL5vhW3sbDhbH9Cz0tuDiY8C3ctxq1tqvaCgkFb8cCA/edit?usp=sharing"",""อุดรธานี!J425"")"),0)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IFERROR(__xludf.DUMMYFUNCTION("IMPORTRANGE(""https://docs.google.com/spreadsheets/d/1XL5vhW3sbDhbH9Cz0tuDiY8C3ctxq1tqvaCgkFb8cCA/edit?usp=sharing"",""อุดรธานี!I426"")"),0)</f>
        <v>0</v>
      </c>
      <c r="J531" s="199">
        <f ca="1">IFERROR(__xludf.DUMMYFUNCTION("IMPORTRANGE(""https://docs.google.com/spreadsheets/d/1XL5vhW3sbDhbH9Cz0tuDiY8C3ctxq1tqvaCgkFb8cCA/edit?usp=sharing"",""อุดรธานี!J426"")"),0)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IFERROR(__xludf.DUMMYFUNCTION("IMPORTRANGE(""https://docs.google.com/spreadsheets/d/1XL5vhW3sbDhbH9Cz0tuDiY8C3ctxq1tqvaCgkFb8cCA/edit?usp=sharing"",""อุดรธานี!M428"")"),29609)</f>
        <v>29609</v>
      </c>
      <c r="O533" s="412">
        <f t="shared" ref="O533:O537" ca="1" si="118">+IF(L533&gt;0,N533*100/L533,0)</f>
        <v>80.262943887232311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IFERROR(__xludf.DUMMYFUNCTION("IMPORTRANGE(""https://docs.google.com/spreadsheets/d/1XL5vhW3sbDhbH9Cz0tuDiY8C3ctxq1tqvaCgkFb8cCA/edit?usp=sharing"",""อุดรธานี!L429"")"),0)</f>
        <v>0</v>
      </c>
      <c r="M534" s="166"/>
      <c r="N534" s="170">
        <f ca="1">IFERROR(__xludf.DUMMYFUNCTION("IMPORTRANGE(""https://docs.google.com/spreadsheets/d/1XL5vhW3sbDhbH9Cz0tuDiY8C3ctxq1tqvaCgkFb8cCA/edit?usp=sharing"",""อุดรธานี!M429"")"),0)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IFERROR(__xludf.DUMMYFUNCTION("IMPORTRANGE(""https://docs.google.com/spreadsheets/d/1XL5vhW3sbDhbH9Cz0tuDiY8C3ctxq1tqvaCgkFb8cCA/edit?usp=sharing"",""อุดรธานี!L430"")"),36890)</f>
        <v>36890</v>
      </c>
      <c r="M535" s="167"/>
      <c r="N535" s="170">
        <f ca="1">IFERROR(__xludf.DUMMYFUNCTION("IMPORTRANGE(""https://docs.google.com/spreadsheets/d/1XL5vhW3sbDhbH9Cz0tuDiY8C3ctxq1tqvaCgkFb8cCA/edit?usp=sharing"",""อุดรธานี!M430"")"),29609)</f>
        <v>29609</v>
      </c>
      <c r="O535" s="170">
        <f t="shared" ca="1" si="118"/>
        <v>80.262943887232311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IFERROR(__xludf.DUMMYFUNCTION("IMPORTRANGE(""https://docs.google.com/spreadsheets/d/1XL5vhW3sbDhbH9Cz0tuDiY8C3ctxq1tqvaCgkFb8cCA/edit?usp=sharing"",""อุดรธานี!L431"")"),0)</f>
        <v>0</v>
      </c>
      <c r="M536" s="170"/>
      <c r="N536" s="170">
        <f ca="1">IFERROR(__xludf.DUMMYFUNCTION("IMPORTRANGE(""https://docs.google.com/spreadsheets/d/1XL5vhW3sbDhbH9Cz0tuDiY8C3ctxq1tqvaCgkFb8cCA/edit?usp=sharing"",""อุดรธานี!M431"")"),0)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IFERROR(__xludf.DUMMYFUNCTION("IMPORTRANGE(""https://docs.google.com/spreadsheets/d/1XL5vhW3sbDhbH9Cz0tuDiY8C3ctxq1tqvaCgkFb8cCA/edit?usp=sharing"",""อุดรธานี!L432"")"),36890)</f>
        <v>36890</v>
      </c>
      <c r="M537" s="170"/>
      <c r="N537" s="170">
        <f ca="1">IFERROR(__xludf.DUMMYFUNCTION("IMPORTRANGE(""https://docs.google.com/spreadsheets/d/1XL5vhW3sbDhbH9Cz0tuDiY8C3ctxq1tqvaCgkFb8cCA/edit?usp=sharing"",""อุดรธานี!M432"")"),29609)</f>
        <v>29609</v>
      </c>
      <c r="O537" s="170">
        <f t="shared" ca="1" si="118"/>
        <v>80.262943887232311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IFERROR(__xludf.DUMMYFUNCTION("IMPORTRANGE(""https://docs.google.com/spreadsheets/d/1XL5vhW3sbDhbH9Cz0tuDiY8C3ctxq1tqvaCgkFb8cCA/edit?usp=sharing"",""อุดรธานี!M436"")"),11264)</f>
        <v>11264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IFERROR(__xludf.DUMMYFUNCTION("IMPORTRANGE(""https://docs.google.com/spreadsheets/d/1XL5vhW3sbDhbH9Cz0tuDiY8C3ctxq1tqvaCgkFb8cCA/edit?usp=sharing"",""อุดรธานี!J438"")"),0)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IFERROR(__xludf.DUMMYFUNCTION("IMPORTRANGE(""https://docs.google.com/spreadsheets/d/1XL5vhW3sbDhbH9Cz0tuDiY8C3ctxq1tqvaCgkFb8cCA/edit?usp=sharing"",""อุดรธานี!J439"")"),1)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IFERROR(__xludf.DUMMYFUNCTION("IMPORTRANGE(""https://docs.google.com/spreadsheets/d/1XL5vhW3sbDhbH9Cz0tuDiY8C3ctxq1tqvaCgkFb8cCA/edit?usp=sharing"",""อุดรธานี!J440"")"),1)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IFERROR(__xludf.DUMMYFUNCTION("IMPORTRANGE(""https://docs.google.com/spreadsheets/d/1XL5vhW3sbDhbH9Cz0tuDiY8C3ctxq1tqvaCgkFb8cCA/edit?usp=sharing"",""อุดรธานี!J441"")"),1)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IFERROR(__xludf.DUMMYFUNCTION("IMPORTRANGE(""https://docs.google.com/spreadsheets/d/1XL5vhW3sbDhbH9Cz0tuDiY8C3ctxq1tqvaCgkFb8cCA/edit?usp=sharing"",""อุดรธานี!I442"")"),25)</f>
        <v>25</v>
      </c>
      <c r="J547" s="190">
        <f ca="1">IFERROR(__xludf.DUMMYFUNCTION("IMPORTRANGE(""https://docs.google.com/spreadsheets/d/1XL5vhW3sbDhbH9Cz0tuDiY8C3ctxq1tqvaCgkFb8cCA/edit?usp=sharing"",""อุดรธานี!J442"")"),25)</f>
        <v>25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IFERROR(__xludf.DUMMYFUNCTION("IMPORTRANGE(""https://docs.google.com/spreadsheets/d/1XL5vhW3sbDhbH9Cz0tuDiY8C3ctxq1tqvaCgkFb8cCA/edit?usp=sharing"",""อุดรธานี!J166"")"),0)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IFERROR(__xludf.DUMMYFUNCTION("IMPORTRANGE(""https://docs.google.com/spreadsheets/d/1XL5vhW3sbDhbH9Cz0tuDiY8C3ctxq1tqvaCgkFb8cCA/edit?usp=sharing"",""อุดรธานี!J444"")"),0)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IFERROR(__xludf.DUMMYFUNCTION("IMPORTRANGE(""https://docs.google.com/spreadsheets/d/1XL5vhW3sbDhbH9Cz0tuDiY8C3ctxq1tqvaCgkFb8cCA/edit?usp=sharing"",""อุดรธานี!L447"")"),0)</f>
        <v>0</v>
      </c>
      <c r="M552" s="166"/>
      <c r="N552" s="170">
        <f ca="1">IFERROR(__xludf.DUMMYFUNCTION("IMPORTRANGE(""https://docs.google.com/spreadsheets/d/1XL5vhW3sbDhbH9Cz0tuDiY8C3ctxq1tqvaCgkFb8cCA/edit?usp=sharing"",""อุดรธานี!M447"")"),0)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IFERROR(__xludf.DUMMYFUNCTION("IMPORTRANGE(""https://docs.google.com/spreadsheets/d/1XL5vhW3sbDhbH9Cz0tuDiY8C3ctxq1tqvaCgkFb8cCA/edit?usp=sharing"",""อุดรธานี!L448"")"),0)</f>
        <v>0</v>
      </c>
      <c r="M553" s="167"/>
      <c r="N553" s="170">
        <f ca="1">IFERROR(__xludf.DUMMYFUNCTION("IMPORTRANGE(""https://docs.google.com/spreadsheets/d/1XL5vhW3sbDhbH9Cz0tuDiY8C3ctxq1tqvaCgkFb8cCA/edit?usp=sharing"",""อุดรธานี!M448"")"),0)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IFERROR(__xludf.DUMMYFUNCTION("IMPORTRANGE(""https://docs.google.com/spreadsheets/d/1XL5vhW3sbDhbH9Cz0tuDiY8C3ctxq1tqvaCgkFb8cCA/edit?usp=sharing"",""อุดรธานี!L449"")"),0)</f>
        <v>0</v>
      </c>
      <c r="M554" s="170"/>
      <c r="N554" s="170">
        <f ca="1">IFERROR(__xludf.DUMMYFUNCTION("IMPORTRANGE(""https://docs.google.com/spreadsheets/d/1XL5vhW3sbDhbH9Cz0tuDiY8C3ctxq1tqvaCgkFb8cCA/edit?usp=sharing"",""อุดรธานี!M449"")"),0)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IFERROR(__xludf.DUMMYFUNCTION("IMPORTRANGE(""https://docs.google.com/spreadsheets/d/1XL5vhW3sbDhbH9Cz0tuDiY8C3ctxq1tqvaCgkFb8cCA/edit?usp=sharing"",""อุดรธานี!L450"")"),0)</f>
        <v>0</v>
      </c>
      <c r="M555" s="170"/>
      <c r="N555" s="170">
        <f ca="1">IFERROR(__xludf.DUMMYFUNCTION("IMPORTRANGE(""https://docs.google.com/spreadsheets/d/1XL5vhW3sbDhbH9Cz0tuDiY8C3ctxq1tqvaCgkFb8cCA/edit?usp=sharing"",""อุดรธานี!M450"")"),0)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IFERROR(__xludf.DUMMYFUNCTION("IMPORTRANGE(""https://docs.google.com/spreadsheets/d/1XL5vhW3sbDhbH9Cz0tuDiY8C3ctxq1tqvaCgkFb8cCA/edit?usp=sharing"",""อุดรธานี!M451"")"),0)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IFERROR(__xludf.DUMMYFUNCTION("IMPORTRANGE(""https://docs.google.com/spreadsheets/d/1XL5vhW3sbDhbH9Cz0tuDiY8C3ctxq1tqvaCgkFb8cCA/edit?usp=sharing"",""อุดรธานี!M452"")"),0)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IFERROR(__xludf.DUMMYFUNCTION("IMPORTRANGE(""https://docs.google.com/spreadsheets/d/1XL5vhW3sbDhbH9Cz0tuDiY8C3ctxq1tqvaCgkFb8cCA/edit?usp=sharing"",""อุดรธานี!M453"")"),0)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IFERROR(__xludf.DUMMYFUNCTION("IMPORTRANGE(""https://docs.google.com/spreadsheets/d/1XL5vhW3sbDhbH9Cz0tuDiY8C3ctxq1tqvaCgkFb8cCA/edit?usp=sharing"",""อุดรธานี!M454"")"),0)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IFERROR(__xludf.DUMMYFUNCTION("IMPORTRANGE(""https://docs.google.com/spreadsheets/d/1XL5vhW3sbDhbH9Cz0tuDiY8C3ctxq1tqvaCgkFb8cCA/edit?usp=sharing"",""อุดรธานี!I455"")"),0)</f>
        <v>0</v>
      </c>
      <c r="J560" s="164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IFERROR(__xludf.DUMMYFUNCTION("IMPORTRANGE(""https://docs.google.com/spreadsheets/d/1XL5vhW3sbDhbH9Cz0tuDiY8C3ctxq1tqvaCgkFb8cCA/edit?usp=sharing"",""อุดรธานี!I456"")"),0)</f>
        <v>0</v>
      </c>
      <c r="J561" s="205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IFERROR(__xludf.DUMMYFUNCTION("IMPORTRANGE(""https://docs.google.com/spreadsheets/d/1XL5vhW3sbDhbH9Cz0tuDiY8C3ctxq1tqvaCgkFb8cCA/edit?usp=sharing"",""อุดรธานี!I457"")"),0)</f>
        <v>0</v>
      </c>
      <c r="J562" s="205" t="str">
        <f ca="1">IFERROR(__xludf.DUMMYFUNCTION("IMPORTRANGE(""https://docs.google.com/spreadsheets/d/1XL5vhW3sbDhbH9Cz0tuDiY8C3ctxq1tqvaCgkFb8cCA/edit?usp=sharing"",""อุดรธานี!J457"")"),"")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IFERROR(__xludf.DUMMYFUNCTION("IMPORTRANGE(""https://docs.google.com/spreadsheets/d/1XL5vhW3sbDhbH9Cz0tuDiY8C3ctxq1tqvaCgkFb8cCA/edit?usp=sharing"",""อุดรธานี!I458"")"),0)</f>
        <v>0</v>
      </c>
      <c r="J563" s="189" t="str">
        <f ca="1">IFERROR(__xludf.DUMMYFUNCTION("IMPORTRANGE(""https://docs.google.com/spreadsheets/d/1XL5vhW3sbDhbH9Cz0tuDiY8C3ctxq1tqvaCgkFb8cCA/edit?usp=sharing"",""อุดรธานี!J458"")"),"")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IFERROR(__xludf.DUMMYFUNCTION("IMPORTRANGE(""https://docs.google.com/spreadsheets/d/1XL5vhW3sbDhbH9Cz0tuDiY8C3ctxq1tqvaCgkFb8cCA/edit?usp=sharing"",""อุดรธานี!J459"")"),8615)</f>
        <v>8615</v>
      </c>
      <c r="K564" s="372">
        <f t="shared" ca="1" si="121"/>
        <v>165.67307692307693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IFERROR(__xludf.DUMMYFUNCTION("IMPORTRANGE(""https://docs.google.com/spreadsheets/d/1XL5vhW3sbDhbH9Cz0tuDiY8C3ctxq1tqvaCgkFb8cCA/edit?usp=sharing"",""อุดรธานี!M459"")"),92798.04)</f>
        <v>92798.04</v>
      </c>
      <c r="O564" s="373">
        <f t="shared" ref="O564:O568" ca="1" si="122">+IF(L564&gt;0,N564*100/L564,0)</f>
        <v>53.702569444444443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IFERROR(__xludf.DUMMYFUNCTION("IMPORTRANGE(""https://docs.google.com/spreadsheets/d/1XL5vhW3sbDhbH9Cz0tuDiY8C3ctxq1tqvaCgkFb8cCA/edit?usp=sharing"",""อุดรธานี!L460"")"),0)</f>
        <v>0</v>
      </c>
      <c r="M565" s="166"/>
      <c r="N565" s="170">
        <f ca="1">IFERROR(__xludf.DUMMYFUNCTION("IMPORTRANGE(""https://docs.google.com/spreadsheets/d/1XL5vhW3sbDhbH9Cz0tuDiY8C3ctxq1tqvaCgkFb8cCA/edit?usp=sharing"",""อุดรธานี!M460"")"),0)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IFERROR(__xludf.DUMMYFUNCTION("IMPORTRANGE(""https://docs.google.com/spreadsheets/d/1XL5vhW3sbDhbH9Cz0tuDiY8C3ctxq1tqvaCgkFb8cCA/edit?usp=sharing"",""อุดรธานี!L461"")"),172800)</f>
        <v>172800</v>
      </c>
      <c r="M566" s="167"/>
      <c r="N566" s="170">
        <f ca="1">IFERROR(__xludf.DUMMYFUNCTION("IMPORTRANGE(""https://docs.google.com/spreadsheets/d/1XL5vhW3sbDhbH9Cz0tuDiY8C3ctxq1tqvaCgkFb8cCA/edit?usp=sharing"",""อุดรธานี!M461"")"),92798.04)</f>
        <v>92798.04</v>
      </c>
      <c r="O566" s="170">
        <f t="shared" ca="1" si="122"/>
        <v>53.702569444444443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IFERROR(__xludf.DUMMYFUNCTION("IMPORTRANGE(""https://docs.google.com/spreadsheets/d/1XL5vhW3sbDhbH9Cz0tuDiY8C3ctxq1tqvaCgkFb8cCA/edit?usp=sharing"",""อุดรธานี!L462"")"),0)</f>
        <v>0</v>
      </c>
      <c r="M567" s="170"/>
      <c r="N567" s="170">
        <f ca="1">IFERROR(__xludf.DUMMYFUNCTION("IMPORTRANGE(""https://docs.google.com/spreadsheets/d/1XL5vhW3sbDhbH9Cz0tuDiY8C3ctxq1tqvaCgkFb8cCA/edit?usp=sharing"",""อุดรธานี!M462"")"),0)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IFERROR(__xludf.DUMMYFUNCTION("IMPORTRANGE(""https://docs.google.com/spreadsheets/d/1XL5vhW3sbDhbH9Cz0tuDiY8C3ctxq1tqvaCgkFb8cCA/edit?usp=sharing"",""อุดรธานี!L463"")"),172800)</f>
        <v>172800</v>
      </c>
      <c r="M568" s="170"/>
      <c r="N568" s="170">
        <f ca="1">IFERROR(__xludf.DUMMYFUNCTION("IMPORTRANGE(""https://docs.google.com/spreadsheets/d/1XL5vhW3sbDhbH9Cz0tuDiY8C3ctxq1tqvaCgkFb8cCA/edit?usp=sharing"",""อุดรธานี!M463"")"),92798.04)</f>
        <v>92798.04</v>
      </c>
      <c r="O568" s="170">
        <f t="shared" ca="1" si="122"/>
        <v>53.702569444444443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IFERROR(__xludf.DUMMYFUNCTION("IMPORTRANGE(""https://docs.google.com/spreadsheets/d/1XL5vhW3sbDhbH9Cz0tuDiY8C3ctxq1tqvaCgkFb8cCA/edit?usp=sharing"",""อุดรธานี!M464"")"),0)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IFERROR(__xludf.DUMMYFUNCTION("IMPORTRANGE(""https://docs.google.com/spreadsheets/d/1XL5vhW3sbDhbH9Cz0tuDiY8C3ctxq1tqvaCgkFb8cCA/edit?usp=sharing"",""อุดรธานี!M465"")"),0)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IFERROR(__xludf.DUMMYFUNCTION("IMPORTRANGE(""https://docs.google.com/spreadsheets/d/1XL5vhW3sbDhbH9Cz0tuDiY8C3ctxq1tqvaCgkFb8cCA/edit?usp=sharing"",""อุดรธานี!M466"")"),53580.64)</f>
        <v>53580.639999999999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IFERROR(__xludf.DUMMYFUNCTION("IMPORTRANGE(""https://docs.google.com/spreadsheets/d/1XL5vhW3sbDhbH9Cz0tuDiY8C3ctxq1tqvaCgkFb8cCA/edit?usp=sharing"",""อุดรธานี!M467"")"),39217.4)</f>
        <v>39217.4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IFERROR(__xludf.DUMMYFUNCTION("IMPORTRANGE(""https://docs.google.com/spreadsheets/d/1XL5vhW3sbDhbH9Cz0tuDiY8C3ctxq1tqvaCgkFb8cCA/edit?usp=sharing"",""อุดรธานี!J468"")"),8615)</f>
        <v>8615</v>
      </c>
      <c r="K573" s="203">
        <f ca="1">IF(I573&gt;0,J573*100/I573,0)</f>
        <v>165.67307692307693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IFERROR(__xludf.DUMMYFUNCTION("IMPORTRANGE(""https://docs.google.com/spreadsheets/d/1XL5vhW3sbDhbH9Cz0tuDiY8C3ctxq1tqvaCgkFb8cCA/edit?usp=sharing"",""อุดรธานี!I470"")"),0)</f>
        <v>0</v>
      </c>
      <c r="J575" s="199">
        <f ca="1">IFERROR(__xludf.DUMMYFUNCTION("IMPORTRANGE(""https://docs.google.com/spreadsheets/d/1XL5vhW3sbDhbH9Cz0tuDiY8C3ctxq1tqvaCgkFb8cCA/edit?usp=sharing"",""อุดรธานี!J470"")"),2)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IFERROR(__xludf.DUMMYFUNCTION("IMPORTRANGE(""https://docs.google.com/spreadsheets/d/1XL5vhW3sbDhbH9Cz0tuDiY8C3ctxq1tqvaCgkFb8cCA/edit?usp=sharing"",""อุดรธานี!I471"")"),0)</f>
        <v>0</v>
      </c>
      <c r="J576" s="199">
        <f ca="1">IFERROR(__xludf.DUMMYFUNCTION("IMPORTRANGE(""https://docs.google.com/spreadsheets/d/1XL5vhW3sbDhbH9Cz0tuDiY8C3ctxq1tqvaCgkFb8cCA/edit?usp=sharing"",""อุดรธานี!J471"")"),104)</f>
        <v>104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IFERROR(__xludf.DUMMYFUNCTION("IMPORTRANGE(""https://docs.google.com/spreadsheets/d/1XL5vhW3sbDhbH9Cz0tuDiY8C3ctxq1tqvaCgkFb8cCA/edit?usp=sharing"",""อุดรธานี!I472"")"),0)</f>
        <v>0</v>
      </c>
      <c r="J577" s="190">
        <f ca="1">IFERROR(__xludf.DUMMYFUNCTION("IMPORTRANGE(""https://docs.google.com/spreadsheets/d/1XL5vhW3sbDhbH9Cz0tuDiY8C3ctxq1tqvaCgkFb8cCA/edit?usp=sharing"",""อุดรธานี!J472"")"),8321)</f>
        <v>8321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IFERROR(__xludf.DUMMYFUNCTION("IMPORTRANGE(""https://docs.google.com/spreadsheets/d/1XL5vhW3sbDhbH9Cz0tuDiY8C3ctxq1tqvaCgkFb8cCA/edit?usp=sharing"",""อุดรธานี!I473"")"),0)</f>
        <v>0</v>
      </c>
      <c r="J578" s="199">
        <f ca="1">IFERROR(__xludf.DUMMYFUNCTION("IMPORTRANGE(""https://docs.google.com/spreadsheets/d/1XL5vhW3sbDhbH9Cz0tuDiY8C3ctxq1tqvaCgkFb8cCA/edit?usp=sharing"",""อุดรธานี!J473"")"),86)</f>
        <v>86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IFERROR(__xludf.DUMMYFUNCTION("IMPORTRANGE(""https://docs.google.com/spreadsheets/d/1XL5vhW3sbDhbH9Cz0tuDiY8C3ctxq1tqvaCgkFb8cCA/edit?usp=sharing"",""อุดรธานี!I474"")"),0)</f>
        <v>0</v>
      </c>
      <c r="J579" s="199">
        <f ca="1">IFERROR(__xludf.DUMMYFUNCTION("IMPORTRANGE(""https://docs.google.com/spreadsheets/d/1XL5vhW3sbDhbH9Cz0tuDiY8C3ctxq1tqvaCgkFb8cCA/edit?usp=sharing"",""อุดรธานี!J474"")"),104)</f>
        <v>104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IFERROR(__xludf.DUMMYFUNCTION("IMPORTRANGE(""https://docs.google.com/spreadsheets/d/1XL5vhW3sbDhbH9Cz0tuDiY8C3ctxq1tqvaCgkFb8cCA/edit?usp=sharing"",""อุดรธานี!J475"")"),1)</f>
        <v>1</v>
      </c>
      <c r="K580" s="372">
        <f ca="1">IF(I580&gt;0,J580*100/I580,0)</f>
        <v>0.26315789473684209</v>
      </c>
      <c r="L580" s="373">
        <f ca="1">IFERROR(__xludf.DUMMYFUNCTION("IMPORTRANGE(""https://docs.google.com/spreadsheets/d/1XL5vhW3sbDhbH9Cz0tuDiY8C3ctxq1tqvaCgkFb8cCA/edit?usp=sharing"",""อุดรธานี!L475"")"),493580)</f>
        <v>493580</v>
      </c>
      <c r="M580" s="373"/>
      <c r="N580" s="373">
        <f ca="1">IFERROR(__xludf.DUMMYFUNCTION("IMPORTRANGE(""https://docs.google.com/spreadsheets/d/1XL5vhW3sbDhbH9Cz0tuDiY8C3ctxq1tqvaCgkFb8cCA/edit?usp=sharing"",""อุดรธานี!M475"")"),295319.32)</f>
        <v>295319.32</v>
      </c>
      <c r="O580" s="373">
        <f t="shared" ref="O580:O584" ca="1" si="124">+IF(L580&gt;0,N580*100/L580,0)</f>
        <v>59.832108270189231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IFERROR(__xludf.DUMMYFUNCTION("IMPORTRANGE(""https://docs.google.com/spreadsheets/d/1XL5vhW3sbDhbH9Cz0tuDiY8C3ctxq1tqvaCgkFb8cCA/edit?usp=sharing"",""อุดรธานี!L476"")"),0)</f>
        <v>0</v>
      </c>
      <c r="M581" s="166"/>
      <c r="N581" s="170">
        <f ca="1">IFERROR(__xludf.DUMMYFUNCTION("IMPORTRANGE(""https://docs.google.com/spreadsheets/d/1XL5vhW3sbDhbH9Cz0tuDiY8C3ctxq1tqvaCgkFb8cCA/edit?usp=sharing"",""อุดรธานี!M476"")"),0)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IFERROR(__xludf.DUMMYFUNCTION("IMPORTRANGE(""https://docs.google.com/spreadsheets/d/1XL5vhW3sbDhbH9Cz0tuDiY8C3ctxq1tqvaCgkFb8cCA/edit?usp=sharing"",""อุดรธานี!L477"")"),493580)</f>
        <v>493580</v>
      </c>
      <c r="M582" s="167"/>
      <c r="N582" s="170">
        <f ca="1">IFERROR(__xludf.DUMMYFUNCTION("IMPORTRANGE(""https://docs.google.com/spreadsheets/d/1XL5vhW3sbDhbH9Cz0tuDiY8C3ctxq1tqvaCgkFb8cCA/edit?usp=sharing"",""อุดรธานี!M477"")"),295319.32)</f>
        <v>295319.32</v>
      </c>
      <c r="O582" s="170">
        <f t="shared" ca="1" si="124"/>
        <v>59.832108270189231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IFERROR(__xludf.DUMMYFUNCTION("IMPORTRANGE(""https://docs.google.com/spreadsheets/d/1XL5vhW3sbDhbH9Cz0tuDiY8C3ctxq1tqvaCgkFb8cCA/edit?usp=sharing"",""อุดรธานี!L478"")"),0)</f>
        <v>0</v>
      </c>
      <c r="M583" s="170"/>
      <c r="N583" s="170">
        <f ca="1">IFERROR(__xludf.DUMMYFUNCTION("IMPORTRANGE(""https://docs.google.com/spreadsheets/d/1XL5vhW3sbDhbH9Cz0tuDiY8C3ctxq1tqvaCgkFb8cCA/edit?usp=sharing"",""อุดรธานี!M478"")"),0)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IFERROR(__xludf.DUMMYFUNCTION("IMPORTRANGE(""https://docs.google.com/spreadsheets/d/1XL5vhW3sbDhbH9Cz0tuDiY8C3ctxq1tqvaCgkFb8cCA/edit?usp=sharing"",""อุดรธานี!L479"")"),493580)</f>
        <v>493580</v>
      </c>
      <c r="M584" s="170"/>
      <c r="N584" s="170">
        <f ca="1">IFERROR(__xludf.DUMMYFUNCTION("IMPORTRANGE(""https://docs.google.com/spreadsheets/d/1XL5vhW3sbDhbH9Cz0tuDiY8C3ctxq1tqvaCgkFb8cCA/edit?usp=sharing"",""อุดรธานี!M479"")"),295319.32)</f>
        <v>295319.32</v>
      </c>
      <c r="O584" s="170">
        <f t="shared" ca="1" si="124"/>
        <v>59.832108270189231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IFERROR(__xludf.DUMMYFUNCTION("IMPORTRANGE(""https://docs.google.com/spreadsheets/d/1XL5vhW3sbDhbH9Cz0tuDiY8C3ctxq1tqvaCgkFb8cCA/edit?usp=sharing"",""อุดรธานี!M480"")"),0)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IFERROR(__xludf.DUMMYFUNCTION("IMPORTRANGE(""https://docs.google.com/spreadsheets/d/1XL5vhW3sbDhbH9Cz0tuDiY8C3ctxq1tqvaCgkFb8cCA/edit?usp=sharing"",""อุดรธานี!M481"")"),0)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IFERROR(__xludf.DUMMYFUNCTION("IMPORTRANGE(""https://docs.google.com/spreadsheets/d/1XL5vhW3sbDhbH9Cz0tuDiY8C3ctxq1tqvaCgkFb8cCA/edit?usp=sharing"",""อุดรธานี!M482"")"),107504.29)</f>
        <v>107504.29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IFERROR(__xludf.DUMMYFUNCTION("IMPORTRANGE(""https://docs.google.com/spreadsheets/d/1XL5vhW3sbDhbH9Cz0tuDiY8C3ctxq1tqvaCgkFb8cCA/edit?usp=sharing"",""อุดรธานี!M483"")"),187815.03)</f>
        <v>187815.03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IFERROR(__xludf.DUMMYFUNCTION("IMPORTRANGE(""https://docs.google.com/spreadsheets/d/1XL5vhW3sbDhbH9Cz0tuDiY8C3ctxq1tqvaCgkFb8cCA/edit?usp=sharing"",""อุดรธานี!I484"")"),380)</f>
        <v>380</v>
      </c>
      <c r="J589" s="189">
        <f ca="1">IFERROR(__xludf.DUMMYFUNCTION("IMPORTRANGE(""https://docs.google.com/spreadsheets/d/1XL5vhW3sbDhbH9Cz0tuDiY8C3ctxq1tqvaCgkFb8cCA/edit?usp=sharing"",""อุดรธานี!J484"")"),132)</f>
        <v>132</v>
      </c>
      <c r="K589" s="165">
        <f t="shared" ref="K589:K596" ca="1" si="125">IF(I589&gt;0,J589*100/I589,0)</f>
        <v>34.736842105263158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9">
        <f ca="1">IFERROR(__xludf.DUMMYFUNCTION("IMPORTRANGE(""https://docs.google.com/spreadsheets/d/1XL5vhW3sbDhbH9Cz0tuDiY8C3ctxq1tqvaCgkFb8cCA/edit?usp=sharing"",""อุดรธานี!J485"")"),78.33)</f>
        <v>78.33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IFERROR(__xludf.DUMMYFUNCTION("IMPORTRANGE(""https://docs.google.com/spreadsheets/d/1XL5vhW3sbDhbH9Cz0tuDiY8C3ctxq1tqvaCgkFb8cCA/edit?usp=sharing"",""อุดรธานี!I486"")"),380)</f>
        <v>380</v>
      </c>
      <c r="J591" s="189">
        <f ca="1">IFERROR(__xludf.DUMMYFUNCTION("IMPORTRANGE(""https://docs.google.com/spreadsheets/d/1XL5vhW3sbDhbH9Cz0tuDiY8C3ctxq1tqvaCgkFb8cCA/edit?usp=sharing"",""อุดรธานี!J486"")"),181)</f>
        <v>181</v>
      </c>
      <c r="K591" s="165">
        <f t="shared" ca="1" si="125"/>
        <v>47.631578947368418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9">
        <f ca="1">IFERROR(__xludf.DUMMYFUNCTION("IMPORTRANGE(""https://docs.google.com/spreadsheets/d/1XL5vhW3sbDhbH9Cz0tuDiY8C3ctxq1tqvaCgkFb8cCA/edit?usp=sharing"",""อุดรธานี!J487"")"),92.46)</f>
        <v>92.46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IFERROR(__xludf.DUMMYFUNCTION("IMPORTRANGE(""https://docs.google.com/spreadsheets/d/1XL5vhW3sbDhbH9Cz0tuDiY8C3ctxq1tqvaCgkFb8cCA/edit?usp=sharing"",""อุดรธานี!I488"")"),380)</f>
        <v>380</v>
      </c>
      <c r="J593" s="189">
        <f ca="1">IFERROR(__xludf.DUMMYFUNCTION("IMPORTRANGE(""https://docs.google.com/spreadsheets/d/1XL5vhW3sbDhbH9Cz0tuDiY8C3ctxq1tqvaCgkFb8cCA/edit?usp=sharing"",""อุดรธานี!J488"")"),1)</f>
        <v>1</v>
      </c>
      <c r="K593" s="165">
        <f t="shared" ca="1" si="125"/>
        <v>0.26315789473684209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9">
        <f ca="1">IFERROR(__xludf.DUMMYFUNCTION("IMPORTRANGE(""https://docs.google.com/spreadsheets/d/1XL5vhW3sbDhbH9Cz0tuDiY8C3ctxq1tqvaCgkFb8cCA/edit?usp=sharing"",""อุดรธานี!J489"")"),1.29)</f>
        <v>1.29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IFERROR(__xludf.DUMMYFUNCTION("IMPORTRANGE(""https://docs.google.com/spreadsheets/d/1XL5vhW3sbDhbH9Cz0tuDiY8C3ctxq1tqvaCgkFb8cCA/edit?usp=sharing"",""อุดรธานี!I490"")"),380)</f>
        <v>380</v>
      </c>
      <c r="J595" s="189">
        <f ca="1">IFERROR(__xludf.DUMMYFUNCTION("IMPORTRANGE(""https://docs.google.com/spreadsheets/d/1XL5vhW3sbDhbH9Cz0tuDiY8C3ctxq1tqvaCgkFb8cCA/edit?usp=sharing"",""อุดรธานี!J490"")"),1)</f>
        <v>1</v>
      </c>
      <c r="K595" s="165">
        <f t="shared" ca="1" si="125"/>
        <v>0.26315789473684209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IFERROR(__xludf.DUMMYFUNCTION("IMPORTRANGE(""https://docs.google.com/spreadsheets/d/1XL5vhW3sbDhbH9Cz0tuDiY8C3ctxq1tqvaCgkFb8cCA/edit?usp=sharing"",""อุดรธานี!J491"")"),1.29)</f>
        <v>1.29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7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IFERROR(__xludf.DUMMYFUNCTION("IMPORTRANGE(""https://docs.google.com/spreadsheets/d/1XL5vhW3sbDhbH9Cz0tuDiY8C3ctxq1tqvaCgkFb8cCA/edit?usp=sharing"",""อุดรธานี!L493"")"),0)</f>
        <v>0</v>
      </c>
      <c r="M598" s="166"/>
      <c r="N598" s="170">
        <f ca="1">IFERROR(__xludf.DUMMYFUNCTION("IMPORTRANGE(""https://docs.google.com/spreadsheets/d/1XL5vhW3sbDhbH9Cz0tuDiY8C3ctxq1tqvaCgkFb8cCA/edit?usp=sharing"",""อุดรธานี!M493"")"),0)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IFERROR(__xludf.DUMMYFUNCTION("IMPORTRANGE(""https://docs.google.com/spreadsheets/d/1XL5vhW3sbDhbH9Cz0tuDiY8C3ctxq1tqvaCgkFb8cCA/edit?usp=sharing"",""อุดรธานี!L494"")"),4550)</f>
        <v>4550</v>
      </c>
      <c r="M599" s="167"/>
      <c r="N599" s="170">
        <f ca="1">IFERROR(__xludf.DUMMYFUNCTION("IMPORTRANGE(""https://docs.google.com/spreadsheets/d/1XL5vhW3sbDhbH9Cz0tuDiY8C3ctxq1tqvaCgkFb8cCA/edit?usp=sharing"",""อุดรธานี!M494"")"),780)</f>
        <v>780</v>
      </c>
      <c r="O599" s="170">
        <f t="shared" ca="1" si="126"/>
        <v>17.142857142857142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IFERROR(__xludf.DUMMYFUNCTION("IMPORTRANGE(""https://docs.google.com/spreadsheets/d/1XL5vhW3sbDhbH9Cz0tuDiY8C3ctxq1tqvaCgkFb8cCA/edit?usp=sharing"",""อุดรธานี!L495"")"),0)</f>
        <v>0</v>
      </c>
      <c r="M600" s="170"/>
      <c r="N600" s="170">
        <f ca="1">IFERROR(__xludf.DUMMYFUNCTION("IMPORTRANGE(""https://docs.google.com/spreadsheets/d/1XL5vhW3sbDhbH9Cz0tuDiY8C3ctxq1tqvaCgkFb8cCA/edit?usp=sharing"",""อุดรธานี!M495"")"),0)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IFERROR(__xludf.DUMMYFUNCTION("IMPORTRANGE(""https://docs.google.com/spreadsheets/d/1XL5vhW3sbDhbH9Cz0tuDiY8C3ctxq1tqvaCgkFb8cCA/edit?usp=sharing"",""อุดรธานี!L496"")"),4550)</f>
        <v>4550</v>
      </c>
      <c r="M601" s="170"/>
      <c r="N601" s="170">
        <f ca="1">IFERROR(__xludf.DUMMYFUNCTION("IMPORTRANGE(""https://docs.google.com/spreadsheets/d/1XL5vhW3sbDhbH9Cz0tuDiY8C3ctxq1tqvaCgkFb8cCA/edit?usp=sharing"",""อุดรธานี!M496"")"),780)</f>
        <v>780</v>
      </c>
      <c r="O601" s="170">
        <f t="shared" ca="1" si="126"/>
        <v>17.142857142857142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IFERROR(__xludf.DUMMYFUNCTION("IMPORTRANGE(""https://docs.google.com/spreadsheets/d/1XL5vhW3sbDhbH9Cz0tuDiY8C3ctxq1tqvaCgkFb8cCA/edit?usp=sharing"",""อุดรธานี!M497"")"),0)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IFERROR(__xludf.DUMMYFUNCTION("IMPORTRANGE(""https://docs.google.com/spreadsheets/d/1XL5vhW3sbDhbH9Cz0tuDiY8C3ctxq1tqvaCgkFb8cCA/edit?usp=sharing"",""อุดรธานี!M498"")"),0)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IFERROR(__xludf.DUMMYFUNCTION("IMPORTRANGE(""https://docs.google.com/spreadsheets/d/1XL5vhW3sbDhbH9Cz0tuDiY8C3ctxq1tqvaCgkFb8cCA/edit?usp=sharing"",""อุดรธานี!J502"")"),0)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IFERROR(__xludf.DUMMYFUNCTION("IMPORTRANGE(""https://docs.google.com/spreadsheets/d/1XL5vhW3sbDhbH9Cz0tuDiY8C3ctxq1tqvaCgkFb8cCA/edit?usp=sharing"",""อุดรธานี!J503"")"),1)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IFERROR(__xludf.DUMMYFUNCTION("IMPORTRANGE(""https://docs.google.com/spreadsheets/d/1XL5vhW3sbDhbH9Cz0tuDiY8C3ctxq1tqvaCgkFb8cCA/edit?usp=sharing"",""อุดรธานี!J166"")"),0)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IFERROR(__xludf.DUMMYFUNCTION("IMPORTRANGE(""https://docs.google.com/spreadsheets/d/1XL5vhW3sbDhbH9Cz0tuDiY8C3ctxq1tqvaCgkFb8cCA/edit?usp=sharing"",""อุดรธานี!J166"")"),0)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IFERROR(__xludf.DUMMYFUNCTION("IMPORTRANGE(""https://docs.google.com/spreadsheets/d/1XL5vhW3sbDhbH9Cz0tuDiY8C3ctxq1tqvaCgkFb8cCA/edit?usp=sharing"",""อุดรธานี!I506"")"),50)</f>
        <v>50</v>
      </c>
      <c r="J611" s="164">
        <f ca="1">IFERROR(__xludf.DUMMYFUNCTION("IMPORTRANGE(""https://docs.google.com/spreadsheets/d/1XL5vhW3sbDhbH9Cz0tuDiY8C3ctxq1tqvaCgkFb8cCA/edit?usp=sharing"",""อุดรธานี!J506"")"),0)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IFERROR(__xludf.DUMMYFUNCTION("IMPORTRANGE(""https://docs.google.com/spreadsheets/d/1XL5vhW3sbDhbH9Cz0tuDiY8C3ctxq1tqvaCgkFb8cCA/edit?usp=sharing"",""อุดรธานี!I507"")"),0)</f>
        <v>0</v>
      </c>
      <c r="J612" s="199">
        <f ca="1">IFERROR(__xludf.DUMMYFUNCTION("IMPORTRANGE(""https://docs.google.com/spreadsheets/d/1XL5vhW3sbDhbH9Cz0tuDiY8C3ctxq1tqvaCgkFb8cCA/edit?usp=sharing"",""อุดรธานี!J507"")"),0)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IFERROR(__xludf.DUMMYFUNCTION("IMPORTRANGE(""https://docs.google.com/spreadsheets/d/1XL5vhW3sbDhbH9Cz0tuDiY8C3ctxq1tqvaCgkFb8cCA/edit?usp=sharing"",""อุดรธานี!I508"")"),0)</f>
        <v>0</v>
      </c>
      <c r="J613" s="199">
        <f ca="1">IFERROR(__xludf.DUMMYFUNCTION("IMPORTRANGE(""https://docs.google.com/spreadsheets/d/1XL5vhW3sbDhbH9Cz0tuDiY8C3ctxq1tqvaCgkFb8cCA/edit?usp=sharing"",""อุดรธานี!J508"")"),0)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IFERROR(__xludf.DUMMYFUNCTION("IMPORTRANGE(""https://docs.google.com/spreadsheets/d/1XL5vhW3sbDhbH9Cz0tuDiY8C3ctxq1tqvaCgkFb8cCA/edit?usp=sharing"",""อุดรธานี!I509"")"),0)</f>
        <v>0</v>
      </c>
      <c r="J614" s="199">
        <f ca="1">IFERROR(__xludf.DUMMYFUNCTION("IMPORTRANGE(""https://docs.google.com/spreadsheets/d/1XL5vhW3sbDhbH9Cz0tuDiY8C3ctxq1tqvaCgkFb8cCA/edit?usp=sharing"",""อุดรธานี!J509"")"),0)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IFERROR(__xludf.DUMMYFUNCTION("IMPORTRANGE(""https://docs.google.com/spreadsheets/d/1XL5vhW3sbDhbH9Cz0tuDiY8C3ctxq1tqvaCgkFb8cCA/edit?usp=sharing"",""อุดรธานี!I510"")"),0)</f>
        <v>0</v>
      </c>
      <c r="J615" s="199">
        <f ca="1">IFERROR(__xludf.DUMMYFUNCTION("IMPORTRANGE(""https://docs.google.com/spreadsheets/d/1XL5vhW3sbDhbH9Cz0tuDiY8C3ctxq1tqvaCgkFb8cCA/edit?usp=sharing"",""อุดรธานี!J510"")"),0)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IFERROR(__xludf.DUMMYFUNCTION("IMPORTRANGE(""https://docs.google.com/spreadsheets/d/1XL5vhW3sbDhbH9Cz0tuDiY8C3ctxq1tqvaCgkFb8cCA/edit?usp=sharing"",""อุดรธานี!I511"")"),0)</f>
        <v>0</v>
      </c>
      <c r="J616" s="199">
        <f ca="1">IFERROR(__xludf.DUMMYFUNCTION("IMPORTRANGE(""https://docs.google.com/spreadsheets/d/1XL5vhW3sbDhbH9Cz0tuDiY8C3ctxq1tqvaCgkFb8cCA/edit?usp=sharing"",""อุดรธานี!J511"")"),0)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IFERROR(__xludf.DUMMYFUNCTION("IMPORTRANGE(""https://docs.google.com/spreadsheets/d/1XL5vhW3sbDhbH9Cz0tuDiY8C3ctxq1tqvaCgkFb8cCA/edit?usp=sharing"",""อุดรธานี!I512"")"),0)</f>
        <v>0</v>
      </c>
      <c r="J617" s="189">
        <f ca="1">IFERROR(__xludf.DUMMYFUNCTION("IMPORTRANGE(""https://docs.google.com/spreadsheets/d/1XL5vhW3sbDhbH9Cz0tuDiY8C3ctxq1tqvaCgkFb8cCA/edit?usp=sharing"",""อุดรธานี!J512"")"),0)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IFERROR(__xludf.DUMMYFUNCTION("IMPORTRANGE(""https://docs.google.com/spreadsheets/d/1XL5vhW3sbDhbH9Cz0tuDiY8C3ctxq1tqvaCgkFb8cCA/edit?usp=sharing"",""อุดรธานี!I513"")"),0)</f>
        <v>0</v>
      </c>
      <c r="J618" s="190">
        <f ca="1">IFERROR(__xludf.DUMMYFUNCTION("IMPORTRANGE(""https://docs.google.com/spreadsheets/d/1XL5vhW3sbDhbH9Cz0tuDiY8C3ctxq1tqvaCgkFb8cCA/edit?usp=sharing"",""อุดรธานี!J513"")"),0)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IFERROR(__xludf.DUMMYFUNCTION("IMPORTRANGE(""https://docs.google.com/spreadsheets/d/1XL5vhW3sbDhbH9Cz0tuDiY8C3ctxq1tqvaCgkFb8cCA/edit?usp=sharing"",""อุดรธานี!I514"")"),0)</f>
        <v>0</v>
      </c>
      <c r="J619" s="190">
        <f ca="1">IFERROR(__xludf.DUMMYFUNCTION("IMPORTRANGE(""https://docs.google.com/spreadsheets/d/1XL5vhW3sbDhbH9Cz0tuDiY8C3ctxq1tqvaCgkFb8cCA/edit?usp=sharing"",""อุดรธานี!J514"")"),0)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IFERROR(__xludf.DUMMYFUNCTION("IMPORTRANGE(""https://docs.google.com/spreadsheets/d/1XL5vhW3sbDhbH9Cz0tuDiY8C3ctxq1tqvaCgkFb8cCA/edit?usp=sharing"",""อุดรธานี!I515"")"),0)</f>
        <v>0</v>
      </c>
      <c r="J620" s="204">
        <f ca="1">IFERROR(__xludf.DUMMYFUNCTION("IMPORTRANGE(""https://docs.google.com/spreadsheets/d/1XL5vhW3sbDhbH9Cz0tuDiY8C3ctxq1tqvaCgkFb8cCA/edit?usp=sharing"",""อุดรธานี!J515"")"),0)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IFERROR(__xludf.DUMMYFUNCTION("IMPORTRANGE(""https://docs.google.com/spreadsheets/d/1XL5vhW3sbDhbH9Cz0tuDiY8C3ctxq1tqvaCgkFb8cCA/edit?usp=sharing"",""อุดรธานี!I516"")"),0)</f>
        <v>0</v>
      </c>
      <c r="J621" s="204">
        <f ca="1">IFERROR(__xludf.DUMMYFUNCTION("IMPORTRANGE(""https://docs.google.com/spreadsheets/d/1XL5vhW3sbDhbH9Cz0tuDiY8C3ctxq1tqvaCgkFb8cCA/edit?usp=sharing"",""อุดรธานี!J516"")"),0)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IFERROR(__xludf.DUMMYFUNCTION("IMPORTRANGE(""https://docs.google.com/spreadsheets/d/1XL5vhW3sbDhbH9Cz0tuDiY8C3ctxq1tqvaCgkFb8cCA/edit?usp=sharing"",""อุดรธานี!I517"")"),0)</f>
        <v>0</v>
      </c>
      <c r="J622" s="190">
        <f ca="1">IFERROR(__xludf.DUMMYFUNCTION("IMPORTRANGE(""https://docs.google.com/spreadsheets/d/1XL5vhW3sbDhbH9Cz0tuDiY8C3ctxq1tqvaCgkFb8cCA/edit?usp=sharing"",""อุดรธานี!J517"")"),0)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IFERROR(__xludf.DUMMYFUNCTION("IMPORTRANGE(""https://docs.google.com/spreadsheets/d/1XL5vhW3sbDhbH9Cz0tuDiY8C3ctxq1tqvaCgkFb8cCA/edit?usp=sharing"",""อุดรธานี!I518"")"),0)</f>
        <v>0</v>
      </c>
      <c r="J623" s="190">
        <f ca="1">IFERROR(__xludf.DUMMYFUNCTION("IMPORTRANGE(""https://docs.google.com/spreadsheets/d/1XL5vhW3sbDhbH9Cz0tuDiY8C3ctxq1tqvaCgkFb8cCA/edit?usp=sharing"",""อุดรธานี!J518"")"),0)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IFERROR(__xludf.DUMMYFUNCTION("IMPORTRANGE(""https://docs.google.com/spreadsheets/d/1XL5vhW3sbDhbH9Cz0tuDiY8C3ctxq1tqvaCgkFb8cCA/edit?usp=sharing"",""อุดรธานี!I519"")"),0)</f>
        <v>0</v>
      </c>
      <c r="J624" s="189">
        <f ca="1">IFERROR(__xludf.DUMMYFUNCTION("IMPORTRANGE(""https://docs.google.com/spreadsheets/d/1XL5vhW3sbDhbH9Cz0tuDiY8C3ctxq1tqvaCgkFb8cCA/edit?usp=sharing"",""อุดรธานี!J519"")"),0)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IFERROR(__xludf.DUMMYFUNCTION("IMPORTRANGE(""https://docs.google.com/spreadsheets/d/1XL5vhW3sbDhbH9Cz0tuDiY8C3ctxq1tqvaCgkFb8cCA/edit?usp=sharing"",""อุดรธานี!I520"")"),0)</f>
        <v>0</v>
      </c>
      <c r="J625" s="190">
        <f ca="1">IFERROR(__xludf.DUMMYFUNCTION("IMPORTRANGE(""https://docs.google.com/spreadsheets/d/1XL5vhW3sbDhbH9Cz0tuDiY8C3ctxq1tqvaCgkFb8cCA/edit?usp=sharing"",""อุดรธานี!J520"")"),0)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IFERROR(__xludf.DUMMYFUNCTION("IMPORTRANGE(""https://docs.google.com/spreadsheets/d/1XL5vhW3sbDhbH9Cz0tuDiY8C3ctxq1tqvaCgkFb8cCA/edit?usp=sharing"",""อุดรธานี!I521"")"),0)</f>
        <v>0</v>
      </c>
      <c r="J626" s="190">
        <f ca="1">IFERROR(__xludf.DUMMYFUNCTION("IMPORTRANGE(""https://docs.google.com/spreadsheets/d/1XL5vhW3sbDhbH9Cz0tuDiY8C3ctxq1tqvaCgkFb8cCA/edit?usp=sharing"",""อุดรธานี!J521"")"),0)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1">
        <f ca="1">IFERROR(__xludf.DUMMYFUNCTION("IMPORTRANGE(""https://docs.google.com/spreadsheets/d/1XL5vhW3sbDhbH9Cz0tuDiY8C3ctxq1tqvaCgkFb8cCA/edit?usp=sharing"",""อุดรธานี!J523"")"),1626563.96)</f>
        <v>1626563.96</v>
      </c>
      <c r="K628" s="342">
        <f t="shared" ref="K628:K635" ca="1" si="129">IF(I628&gt;0,J628*100/I628,0)</f>
        <v>37.583743726554566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IFERROR(__xludf.DUMMYFUNCTION("IMPORTRANGE(""https://docs.google.com/spreadsheets/d/1XL5vhW3sbDhbH9Cz0tuDiY8C3ctxq1tqvaCgkFb8cCA/edit?usp=sharing"",""อุดรธานี!I524"")"),302)</f>
        <v>302</v>
      </c>
      <c r="J629" s="341">
        <f ca="1">IFERROR(__xludf.DUMMYFUNCTION("IMPORTRANGE(""https://docs.google.com/spreadsheets/d/1XL5vhW3sbDhbH9Cz0tuDiY8C3ctxq1tqvaCgkFb8cCA/edit?usp=sharing"",""อุดรธานี!J524"")"),89)</f>
        <v>89</v>
      </c>
      <c r="K629" s="342">
        <f t="shared" ca="1" si="129"/>
        <v>29.47019867549669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1">
        <f ca="1">IFERROR(__xludf.DUMMYFUNCTION("IMPORTRANGE(""https://docs.google.com/spreadsheets/d/1XL5vhW3sbDhbH9Cz0tuDiY8C3ctxq1tqvaCgkFb8cCA/edit?usp=sharing"",""อุดรธานี!J525"")"),356477.75)</f>
        <v>356477.75</v>
      </c>
      <c r="K630" s="342">
        <f t="shared" ca="1" si="129"/>
        <v>18.854676132266071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IFERROR(__xludf.DUMMYFUNCTION("IMPORTRANGE(""https://docs.google.com/spreadsheets/d/1XL5vhW3sbDhbH9Cz0tuDiY8C3ctxq1tqvaCgkFb8cCA/edit?usp=sharing"",""อุดรธานี!I526"")"),120)</f>
        <v>120</v>
      </c>
      <c r="J631" s="341">
        <f ca="1">IFERROR(__xludf.DUMMYFUNCTION("IMPORTRANGE(""https://docs.google.com/spreadsheets/d/1XL5vhW3sbDhbH9Cz0tuDiY8C3ctxq1tqvaCgkFb8cCA/edit?usp=sharing"",""อุดรธานี!J526"")"),41)</f>
        <v>41</v>
      </c>
      <c r="K631" s="342">
        <f t="shared" ca="1" si="129"/>
        <v>34.166666666666664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1">
        <f ca="1">IFERROR(__xludf.DUMMYFUNCTION("IMPORTRANGE(""https://docs.google.com/spreadsheets/d/1XL5vhW3sbDhbH9Cz0tuDiY8C3ctxq1tqvaCgkFb8cCA/edit?usp=sharing"",""อุดรธานี!J527"")"),85707.36)</f>
        <v>85707.36</v>
      </c>
      <c r="K632" s="342">
        <f t="shared" ca="1" si="129"/>
        <v>12.280862564088382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IFERROR(__xludf.DUMMYFUNCTION("IMPORTRANGE(""https://docs.google.com/spreadsheets/d/1XL5vhW3sbDhbH9Cz0tuDiY8C3ctxq1tqvaCgkFb8cCA/edit?usp=sharing"",""อุดรธานี!I528"")"),24)</f>
        <v>24</v>
      </c>
      <c r="J633" s="341">
        <f ca="1">IFERROR(__xludf.DUMMYFUNCTION("IMPORTRANGE(""https://docs.google.com/spreadsheets/d/1XL5vhW3sbDhbH9Cz0tuDiY8C3ctxq1tqvaCgkFb8cCA/edit?usp=sharing"",""อุดรธานี!J528"")"),17)</f>
        <v>17</v>
      </c>
      <c r="K633" s="342">
        <f t="shared" ca="1" si="129"/>
        <v>70.833333333333329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IFERROR(__xludf.DUMMYFUNCTION("IMPORTRANGE(""https://docs.google.com/spreadsheets/d/1XL5vhW3sbDhbH9Cz0tuDiY8C3ctxq1tqvaCgkFb8cCA/edit?usp=sharing"",""อุดรธานี!I529"")"),5000000)</f>
        <v>5000000</v>
      </c>
      <c r="J634" s="341">
        <f ca="1">IFERROR(__xludf.DUMMYFUNCTION("IMPORTRANGE(""https://docs.google.com/spreadsheets/d/1XL5vhW3sbDhbH9Cz0tuDiY8C3ctxq1tqvaCgkFb8cCA/edit?usp=sharing"",""อุดรธานี!J529"")"),1170000)</f>
        <v>1170000</v>
      </c>
      <c r="K634" s="342">
        <f t="shared" ca="1" si="129"/>
        <v>23.4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IFERROR(__xludf.DUMMYFUNCTION("IMPORTRANGE(""https://docs.google.com/spreadsheets/d/1XL5vhW3sbDhbH9Cz0tuDiY8C3ctxq1tqvaCgkFb8cCA/edit?usp=sharing"",""อุดรธานี!I530"")"),200)</f>
        <v>200</v>
      </c>
      <c r="J635" s="504">
        <f ca="1">IFERROR(__xludf.DUMMYFUNCTION("IMPORTRANGE(""https://docs.google.com/spreadsheets/d/1XL5vhW3sbDhbH9Cz0tuDiY8C3ctxq1tqvaCgkFb8cCA/edit?usp=sharing"",""อุดรธานี!J530"")"),40)</f>
        <v>40</v>
      </c>
      <c r="K635" s="486">
        <f t="shared" ca="1" si="129"/>
        <v>20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11" activePane="bottomLeft" state="frozen"/>
      <selection activeCell="I11" sqref="I11"/>
      <selection pane="bottomLeft" activeCell="J431" sqref="J43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276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8570470</v>
      </c>
      <c r="M8" s="23">
        <f t="shared" ca="1" si="0"/>
        <v>3206414</v>
      </c>
      <c r="N8" s="23">
        <f t="shared" ca="1" si="0"/>
        <v>3888024.8</v>
      </c>
      <c r="O8" s="22">
        <f t="shared" ref="O8:O16" ca="1" si="1">IF(L8&gt;0,N8*100/L8,0)</f>
        <v>45.365362693061172</v>
      </c>
      <c r="P8" s="22">
        <f t="shared" ref="P8:P16" ca="1" si="2">IF(M8&gt;0,N8*100/M8,0)</f>
        <v>121.25772903935673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8570470</v>
      </c>
      <c r="M10" s="30">
        <f t="shared" ca="1" si="4"/>
        <v>3206414</v>
      </c>
      <c r="N10" s="30">
        <f t="shared" ca="1" si="4"/>
        <v>3888024.8</v>
      </c>
      <c r="O10" s="29">
        <f t="shared" ca="1" si="1"/>
        <v>45.365362693061172</v>
      </c>
      <c r="P10" s="29">
        <f t="shared" ca="1" si="2"/>
        <v>121.25772903935673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7714470</v>
      </c>
      <c r="M12" s="38">
        <f t="shared" ca="1" si="6"/>
        <v>2350414</v>
      </c>
      <c r="N12" s="38">
        <f t="shared" ca="1" si="6"/>
        <v>3032024.8</v>
      </c>
      <c r="O12" s="38">
        <f t="shared" ca="1" si="1"/>
        <v>39.303086278124098</v>
      </c>
      <c r="P12" s="38">
        <f t="shared" ca="1" si="2"/>
        <v>128.99960602685314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5330170</v>
      </c>
      <c r="M14" s="38">
        <f t="shared" si="8"/>
        <v>0</v>
      </c>
      <c r="N14" s="38">
        <f t="shared" ca="1" si="8"/>
        <v>912562.8</v>
      </c>
      <c r="O14" s="38">
        <f t="shared" ca="1" si="1"/>
        <v>17.120707219469548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856000</v>
      </c>
      <c r="M16" s="38">
        <f t="shared" ca="1" si="10"/>
        <v>856000</v>
      </c>
      <c r="N16" s="38">
        <f t="shared" ca="1" si="10"/>
        <v>856000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5189225</v>
      </c>
      <c r="M18" s="23">
        <f t="shared" ca="1" si="11"/>
        <v>3206414</v>
      </c>
      <c r="N18" s="23">
        <f t="shared" ca="1" si="11"/>
        <v>2975462</v>
      </c>
      <c r="O18" s="22">
        <f t="shared" ref="O18:O20" ca="1" si="12">IF(L18&gt;0,N18*100/L18,0)</f>
        <v>57.339236591205818</v>
      </c>
      <c r="P18" s="22">
        <f t="shared" ref="P18:P26" ca="1" si="13">IF(M18&gt;0,N18*100/M18,0)</f>
        <v>92.79718713803021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5189225</v>
      </c>
      <c r="M20" s="30">
        <f t="shared" ca="1" si="15"/>
        <v>3206414</v>
      </c>
      <c r="N20" s="30">
        <f t="shared" ca="1" si="15"/>
        <v>2975462</v>
      </c>
      <c r="O20" s="29">
        <f t="shared" ca="1" si="12"/>
        <v>57.339236591205818</v>
      </c>
      <c r="P20" s="29">
        <f t="shared" ca="1" si="13"/>
        <v>92.79718713803021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4333225</v>
      </c>
      <c r="M22" s="41">
        <f t="shared" ca="1" si="18"/>
        <v>2350414</v>
      </c>
      <c r="N22" s="38">
        <f t="shared" ca="1" si="18"/>
        <v>2119462</v>
      </c>
      <c r="O22" s="38">
        <f t="shared" ca="1" si="17"/>
        <v>48.91188433556993</v>
      </c>
      <c r="P22" s="38">
        <f t="shared" ca="1" si="13"/>
        <v>90.17398637006076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1948925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856000</v>
      </c>
      <c r="M26" s="49">
        <f t="shared" ca="1" si="22"/>
        <v>856000</v>
      </c>
      <c r="N26" s="49">
        <f t="shared" ca="1" si="22"/>
        <v>856000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3381245</v>
      </c>
      <c r="M28" s="23">
        <f t="shared" si="23"/>
        <v>0</v>
      </c>
      <c r="N28" s="23">
        <f t="shared" ca="1" si="23"/>
        <v>912562.8</v>
      </c>
      <c r="O28" s="22">
        <f t="shared" ref="O28:O30" ca="1" si="24">IF(L28&gt;0,N28*100/L28,0)</f>
        <v>26.988958209180346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3381245</v>
      </c>
      <c r="M30" s="30">
        <f t="shared" si="27"/>
        <v>0</v>
      </c>
      <c r="N30" s="30">
        <f t="shared" ca="1" si="27"/>
        <v>912562.8</v>
      </c>
      <c r="O30" s="29">
        <f t="shared" ca="1" si="24"/>
        <v>26.988958209180346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3381245</v>
      </c>
      <c r="M32" s="38">
        <f t="shared" si="30"/>
        <v>0</v>
      </c>
      <c r="N32" s="38">
        <f t="shared" ca="1" si="30"/>
        <v>912562.8</v>
      </c>
      <c r="O32" s="38">
        <f t="shared" ca="1" si="29"/>
        <v>26.988958209180346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3381245</v>
      </c>
      <c r="M34" s="38">
        <f t="shared" si="32"/>
        <v>0</v>
      </c>
      <c r="N34" s="38">
        <f t="shared" ca="1" si="32"/>
        <v>912562.8</v>
      </c>
      <c r="O34" s="38">
        <f t="shared" ca="1" si="29"/>
        <v>26.988958209180346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5189225</v>
      </c>
      <c r="M37" s="54">
        <f t="shared" ca="1" si="33"/>
        <v>3206414</v>
      </c>
      <c r="N37" s="54">
        <f t="shared" ca="1" si="33"/>
        <v>2975462</v>
      </c>
      <c r="O37" s="55">
        <f t="shared" ca="1" si="29"/>
        <v>57.339236591205818</v>
      </c>
      <c r="P37" s="55">
        <f t="shared" ca="1" si="25"/>
        <v>92.79718713803021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1718100</v>
      </c>
      <c r="M41" s="78">
        <f t="shared" ca="1" si="34"/>
        <v>1241000</v>
      </c>
      <c r="N41" s="78">
        <f t="shared" ca="1" si="34"/>
        <v>1211946</v>
      </c>
      <c r="O41" s="77">
        <f t="shared" ref="O41:O43" ca="1" si="35">IF(L41&gt;0,N41*100/L41,0)</f>
        <v>70.53989872533613</v>
      </c>
      <c r="P41" s="77">
        <f t="shared" ref="P41:P43" ca="1" si="36">IF(M41&gt;0,N41*100/M41,0)</f>
        <v>97.658823529411762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1718100</v>
      </c>
      <c r="M43" s="78">
        <f t="shared" ca="1" si="38"/>
        <v>1241000</v>
      </c>
      <c r="N43" s="78">
        <f t="shared" ca="1" si="38"/>
        <v>1211946</v>
      </c>
      <c r="O43" s="77">
        <f t="shared" ca="1" si="35"/>
        <v>70.53989872533613</v>
      </c>
      <c r="P43" s="77">
        <f t="shared" ca="1" si="36"/>
        <v>97.658823529411762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IFERROR(__xludf.DUMMYFUNCTION("IMPORTRANGE(""https://docs.google.com/spreadsheets/d/1Yj_ptqi66GCucihVvJfMjLAmec39IyEx_6qawtMGysU/edit?usp=sharing"",""สบก!Q57"")"),477000)</f>
        <v>477000</v>
      </c>
      <c r="N45" s="49">
        <f ca="1">IFERROR(__xludf.DUMMYFUNCTION("IMPORTRANGE(""https://docs.google.com/spreadsheets/d/1Yj_ptqi66GCucihVvJfMjLAmec39IyEx_6qawtMGysU/edit?usp=sharing"",""สบก!R57"")"),447946)</f>
        <v>447946</v>
      </c>
      <c r="O45" s="38">
        <f ca="1">IF(L45&gt;0,N45*100/L45,0)</f>
        <v>46.949585997274916</v>
      </c>
      <c r="P45" s="38">
        <f ca="1">IF(M45&gt;0,N45*100/M45,0)</f>
        <v>93.909014675052404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IFERROR(__xludf.DUMMYFUNCTION("IMPORTRANGE(""https://docs.google.com/spreadsheets/d/1Yj_ptqi66GCucihVvJfMjLAmec39IyEx_6qawtMGysU/edit?usp=sharing"",""สบก!O57"")"),764000)</f>
        <v>764000</v>
      </c>
      <c r="M49" s="49">
        <f ca="1">L49</f>
        <v>764000</v>
      </c>
      <c r="N49" s="49">
        <f ca="1">IFERROR(__xludf.DUMMYFUNCTION("IMPORTRANGE(""https://docs.google.com/spreadsheets/d/1Yj_ptqi66GCucihVvJfMjLAmec39IyEx_6qawtMGysU/edit?usp=sharing"",""สบก!S57"")"),764000)</f>
        <v>764000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249769</v>
      </c>
      <c r="N53" s="121">
        <f t="shared" ca="1" si="39"/>
        <v>247249</v>
      </c>
      <c r="O53" s="120">
        <f t="shared" ref="O53:O55" ca="1" si="40">IF(L53&gt;0,N53*100/L53,0)</f>
        <v>53.656467013888886</v>
      </c>
      <c r="P53" s="120">
        <f t="shared" ref="P53:P55" ca="1" si="41">IF(M53&gt;0,N53*100/M53,0)</f>
        <v>98.991067746597849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249769</v>
      </c>
      <c r="N55" s="121">
        <f t="shared" ca="1" si="43"/>
        <v>247249</v>
      </c>
      <c r="O55" s="120">
        <f t="shared" ca="1" si="40"/>
        <v>53.656467013888886</v>
      </c>
      <c r="P55" s="120">
        <f t="shared" ca="1" si="41"/>
        <v>98.991067746597849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IFERROR(__xludf.DUMMYFUNCTION("IMPORTRANGE(""https://docs.google.com/spreadsheets/d/1Yj_ptqi66GCucihVvJfMjLAmec39IyEx_6qawtMGysU/edit?usp=sharing"",""สบก!Z57"")"),249769)</f>
        <v>249769</v>
      </c>
      <c r="N57" s="49">
        <f ca="1">IFERROR(__xludf.DUMMYFUNCTION("IMPORTRANGE(""https://docs.google.com/spreadsheets/d/1Yj_ptqi66GCucihVvJfMjLAmec39IyEx_6qawtMGysU/edit?usp=sharing"",""สบก!AA57"")"),247249)</f>
        <v>247249</v>
      </c>
      <c r="O57" s="38">
        <f ca="1">IF(L57&gt;0,N57*100/L57,0)</f>
        <v>53.656467013888886</v>
      </c>
      <c r="P57" s="38">
        <f ca="1">IF(M57&gt;0,N57*100/M57,0)</f>
        <v>98.991067746597849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IFERROR(__xludf.DUMMYFUNCTION("IMPORTRANGE(""https://docs.google.com/spreadsheets/d/1Yj_ptqi66GCucihVvJfMjLAmec39IyEx_6qawtMGysU/edit?usp=sharing"",""สบก!AI57"")"),0)</f>
        <v>0</v>
      </c>
      <c r="N70" s="170">
        <f ca="1">IFERROR(__xludf.DUMMYFUNCTION("IMPORTRANGE(""https://docs.google.com/spreadsheets/d/1Yj_ptqi66GCucihVvJfMjLAmec39IyEx_6qawtMGysU/edit?usp=sharing"",""สบก!AJ57"")"),0)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IFERROR(__xludf.DUMMYFUNCTION("IMPORTRANGE(""https://docs.google.com/spreadsheets/d/1Yj_ptqi66GCucihVvJfMjLAmec39IyEx_6qawtMGysU/edit?usp=sharing"",""สบก!AE57"")"),0)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IFERROR(__xludf.DUMMYFUNCTION("IMPORTRANGE(""https://docs.google.com/spreadsheets/d/1Yj_ptqi66GCucihVvJfMjLAmec39IyEx_6qawtMGysU/edit?usp=sharing"",""สบก!AF57"")"),0)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IFERROR(__xludf.DUMMYFUNCTION("IMPORTRANGE(""https://docs.google.com/spreadsheets/d/1XL5vhW3sbDhbH9Cz0tuDiY8C3ctxq1tqvaCgkFb8cCA/edit?usp=sharing"",""อุบลราชธานี!J16"")"),0)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IFERROR(__xludf.DUMMYFUNCTION("IMPORTRANGE(""https://docs.google.com/spreadsheets/d/1XL5vhW3sbDhbH9Cz0tuDiY8C3ctxq1tqvaCgkFb8cCA/edit?usp=sharing"",""อุบลราชธานี!J17"")"),0)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IFERROR(__xludf.DUMMYFUNCTION("IMPORTRANGE(""https://docs.google.com/spreadsheets/d/1XL5vhW3sbDhbH9Cz0tuDiY8C3ctxq1tqvaCgkFb8cCA/edit?usp=sharing"",""อุบลราชธานี!J18"")"),0)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IFERROR(__xludf.DUMMYFUNCTION("IMPORTRANGE(""https://docs.google.com/spreadsheets/d/1XL5vhW3sbDhbH9Cz0tuDiY8C3ctxq1tqvaCgkFb8cCA/edit?usp=sharing"",""อุบลราชธานี!J19"")"),0)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IFERROR(__xludf.DUMMYFUNCTION("IMPORTRANGE(""https://docs.google.com/spreadsheets/d/1XL5vhW3sbDhbH9Cz0tuDiY8C3ctxq1tqvaCgkFb8cCA/edit?usp=sharing"",""อุบลราชธานี!I20"")"),0)</f>
        <v>0</v>
      </c>
      <c r="J80" s="202">
        <f ca="1">IFERROR(__xludf.DUMMYFUNCTION("IMPORTRANGE(""https://docs.google.com/spreadsheets/d/1XL5vhW3sbDhbH9Cz0tuDiY8C3ctxq1tqvaCgkFb8cCA/edit?usp=sharing"",""อุบลราชธานี!J20"")"),0)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IFERROR(__xludf.DUMMYFUNCTION("IMPORTRANGE(""https://docs.google.com/spreadsheets/d/1XL5vhW3sbDhbH9Cz0tuDiY8C3ctxq1tqvaCgkFb8cCA/edit?usp=sharing"",""อุบลราชธานี!I21"")"),0)</f>
        <v>0</v>
      </c>
      <c r="J81" s="202">
        <f ca="1">IFERROR(__xludf.DUMMYFUNCTION("IMPORTRANGE(""https://docs.google.com/spreadsheets/d/1XL5vhW3sbDhbH9Cz0tuDiY8C3ctxq1tqvaCgkFb8cCA/edit?usp=sharing"",""อุบลราชธานี!J21"")"),0)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IFERROR(__xludf.DUMMYFUNCTION("IMPORTRANGE(""https://docs.google.com/spreadsheets/d/1XL5vhW3sbDhbH9Cz0tuDiY8C3ctxq1tqvaCgkFb8cCA/edit?usp=sharing"",""อุบลราชธานี!I22"")"),0)</f>
        <v>0</v>
      </c>
      <c r="J82" s="205">
        <f ca="1">IFERROR(__xludf.DUMMYFUNCTION("IMPORTRANGE(""https://docs.google.com/spreadsheets/d/1XL5vhW3sbDhbH9Cz0tuDiY8C3ctxq1tqvaCgkFb8cCA/edit?usp=sharing"",""อุบลราชธานี!J22"")"),0)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IFERROR(__xludf.DUMMYFUNCTION("IMPORTRANGE(""https://docs.google.com/spreadsheets/d/1XL5vhW3sbDhbH9Cz0tuDiY8C3ctxq1tqvaCgkFb8cCA/edit?usp=sharing"",""อุบลราชธานี!I23"")"),0)</f>
        <v>0</v>
      </c>
      <c r="J83" s="205">
        <f ca="1">IFERROR(__xludf.DUMMYFUNCTION("IMPORTRANGE(""https://docs.google.com/spreadsheets/d/1XL5vhW3sbDhbH9Cz0tuDiY8C3ctxq1tqvaCgkFb8cCA/edit?usp=sharing"",""อุบลราชธานี!J23"")"),0)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IFERROR(__xludf.DUMMYFUNCTION("IMPORTRANGE(""https://docs.google.com/spreadsheets/d/1XL5vhW3sbDhbH9Cz0tuDiY8C3ctxq1tqvaCgkFb8cCA/edit?usp=sharing"",""อุบลราชธานี!I24"")"),0)</f>
        <v>0</v>
      </c>
      <c r="J84" s="190">
        <f ca="1">IFERROR(__xludf.DUMMYFUNCTION("IMPORTRANGE(""https://docs.google.com/spreadsheets/d/1XL5vhW3sbDhbH9Cz0tuDiY8C3ctxq1tqvaCgkFb8cCA/edit?usp=sharing"",""อุบลราชธานี!J24"")"),0)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IFERROR(__xludf.DUMMYFUNCTION("IMPORTRANGE(""https://docs.google.com/spreadsheets/d/1XL5vhW3sbDhbH9Cz0tuDiY8C3ctxq1tqvaCgkFb8cCA/edit?usp=sharing"",""อุบลราชธานี!I25"")"),0)</f>
        <v>0</v>
      </c>
      <c r="J85" s="190">
        <f ca="1">IFERROR(__xludf.DUMMYFUNCTION("IMPORTRANGE(""https://docs.google.com/spreadsheets/d/1XL5vhW3sbDhbH9Cz0tuDiY8C3ctxq1tqvaCgkFb8cCA/edit?usp=sharing"",""อุบลราชธานี!J25"")"),0)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IFERROR(__xludf.DUMMYFUNCTION("IMPORTRANGE(""https://docs.google.com/spreadsheets/d/1XL5vhW3sbDhbH9Cz0tuDiY8C3ctxq1tqvaCgkFb8cCA/edit?usp=sharing"",""อุบลราชธานี!I26"")"),0)</f>
        <v>0</v>
      </c>
      <c r="J86" s="205">
        <f ca="1">IFERROR(__xludf.DUMMYFUNCTION("IMPORTRANGE(""https://docs.google.com/spreadsheets/d/1XL5vhW3sbDhbH9Cz0tuDiY8C3ctxq1tqvaCgkFb8cCA/edit?usp=sharing"",""อุบลราชธานี!J26"")"),0)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IFERROR(__xludf.DUMMYFUNCTION("IMPORTRANGE(""https://docs.google.com/spreadsheets/d/1XL5vhW3sbDhbH9Cz0tuDiY8C3ctxq1tqvaCgkFb8cCA/edit?usp=sharing"",""อุบลราชธานี!I27"")"),0)</f>
        <v>0</v>
      </c>
      <c r="J87" s="205">
        <f ca="1">IFERROR(__xludf.DUMMYFUNCTION("IMPORTRANGE(""https://docs.google.com/spreadsheets/d/1XL5vhW3sbDhbH9Cz0tuDiY8C3ctxq1tqvaCgkFb8cCA/edit?usp=sharing"",""อุบลราชธานี!J27"")"),0)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IFERROR(__xludf.DUMMYFUNCTION("IMPORTRANGE(""https://docs.google.com/spreadsheets/d/1XL5vhW3sbDhbH9Cz0tuDiY8C3ctxq1tqvaCgkFb8cCA/edit?usp=sharing"",""อุบลราชธานี!I28"")"),0)</f>
        <v>0</v>
      </c>
      <c r="J88" s="205">
        <f ca="1">IFERROR(__xludf.DUMMYFUNCTION("IMPORTRANGE(""https://docs.google.com/spreadsheets/d/1XL5vhW3sbDhbH9Cz0tuDiY8C3ctxq1tqvaCgkFb8cCA/edit?usp=sharing"",""อุบลราชธานี!J28"")"),0)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IFERROR(__xludf.DUMMYFUNCTION("IMPORTRANGE(""https://docs.google.com/spreadsheets/d/1XL5vhW3sbDhbH9Cz0tuDiY8C3ctxq1tqvaCgkFb8cCA/edit?usp=sharing"",""อุบลราชธานี!J29"")"),0)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214100</v>
      </c>
      <c r="M94" s="152">
        <f t="shared" ca="1" si="52"/>
        <v>160730</v>
      </c>
      <c r="N94" s="152">
        <f t="shared" ca="1" si="52"/>
        <v>136189</v>
      </c>
      <c r="O94" s="151">
        <f t="shared" ref="O94:O96" ca="1" si="53">IF(L94&gt;0,N94*100/L94,0)</f>
        <v>63.609995329285383</v>
      </c>
      <c r="P94" s="151">
        <f t="shared" ref="P94:P96" ca="1" si="54">IF(M94&gt;0,N94*100/M94,0)</f>
        <v>84.731537360791393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214100</v>
      </c>
      <c r="M96" s="157">
        <f t="shared" ca="1" si="56"/>
        <v>160730</v>
      </c>
      <c r="N96" s="157">
        <f t="shared" ca="1" si="56"/>
        <v>136189</v>
      </c>
      <c r="O96" s="156">
        <f t="shared" ca="1" si="53"/>
        <v>63.609995329285383</v>
      </c>
      <c r="P96" s="156">
        <f t="shared" ca="1" si="54"/>
        <v>84.731537360791393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IFERROR(__xludf.DUMMYFUNCTION("IMPORTRANGE(""https://docs.google.com/spreadsheets/d/1Yj_ptqi66GCucihVvJfMjLAmec39IyEx_6qawtMGysU/edit?usp=sharing"",""สบก!AR57"")"),68730)</f>
        <v>68730</v>
      </c>
      <c r="N98" s="170">
        <f ca="1">IFERROR(__xludf.DUMMYFUNCTION("IMPORTRANGE(""https://docs.google.com/spreadsheets/d/1Yj_ptqi66GCucihVvJfMjLAmec39IyEx_6qawtMGysU/edit?usp=sharing"",""สบก!AS57"")"),44189)</f>
        <v>44189</v>
      </c>
      <c r="O98" s="170">
        <f ca="1">IF(L98&gt;0,N98*100/L98,0)</f>
        <v>36.190827190827193</v>
      </c>
      <c r="P98" s="170">
        <f ca="1">IF(M98&gt;0,N98*100/M98,0)</f>
        <v>64.293612687327226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IFERROR(__xludf.DUMMYFUNCTION("IMPORTRANGE(""https://docs.google.com/spreadsheets/d/1Yj_ptqi66GCucihVvJfMjLAmec39IyEx_6qawtMGysU/edit?usp=sharing"",""สบก!AN57"")"),0)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IFERROR(__xludf.DUMMYFUNCTION("IMPORTRANGE(""https://docs.google.com/spreadsheets/d/1Yj_ptqi66GCucihVvJfMjLAmec39IyEx_6qawtMGysU/edit?usp=sharing"",""สบก!AO57"")"),122100)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IFERROR(__xludf.DUMMYFUNCTION("IMPORTRANGE(""https://docs.google.com/spreadsheets/d/1XL5vhW3sbDhbH9Cz0tuDiY8C3ctxq1tqvaCgkFb8cCA/edit?usp=sharing"",""อุบลราชธานี!I43"")"),1)</f>
        <v>1</v>
      </c>
      <c r="J108" s="205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IFERROR(__xludf.DUMMYFUNCTION("IMPORTRANGE(""https://docs.google.com/spreadsheets/d/1XL5vhW3sbDhbH9Cz0tuDiY8C3ctxq1tqvaCgkFb8cCA/edit?usp=sharing"",""อุบลราชธานี!I44"")"),4)</f>
        <v>4</v>
      </c>
      <c r="J109" s="205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IFERROR(__xludf.DUMMYFUNCTION("IMPORTRANGE(""https://docs.google.com/spreadsheets/d/1XL5vhW3sbDhbH9Cz0tuDiY8C3ctxq1tqvaCgkFb8cCA/edit?usp=sharing"",""อุบลราชธานี!I45"")"),4)</f>
        <v>4</v>
      </c>
      <c r="J110" s="205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IFERROR(__xludf.DUMMYFUNCTION("IMPORTRANGE(""https://docs.google.com/spreadsheets/d/1XL5vhW3sbDhbH9Cz0tuDiY8C3ctxq1tqvaCgkFb8cCA/edit?usp=sharing"",""อุบลราชธานี!I46"")"),4)</f>
        <v>4</v>
      </c>
      <c r="J111" s="205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IFERROR(__xludf.DUMMYFUNCTION("IMPORTRANGE(""https://docs.google.com/spreadsheets/d/1XL5vhW3sbDhbH9Cz0tuDiY8C3ctxq1tqvaCgkFb8cCA/edit?usp=sharing"",""อุบลราชธานี!I47"")"),4)</f>
        <v>4</v>
      </c>
      <c r="J112" s="205">
        <f ca="1">IFERROR(__xludf.DUMMYFUNCTION("IMPORTRANGE(""https://docs.google.com/spreadsheets/d/1XL5vhW3sbDhbH9Cz0tuDiY8C3ctxq1tqvaCgkFb8cCA/edit?usp=sharing"",""อุบลราชธานี!J47"")"),0)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IFERROR(__xludf.DUMMYFUNCTION("IMPORTRANGE(""https://docs.google.com/spreadsheets/d/1XL5vhW3sbDhbH9Cz0tuDiY8C3ctxq1tqvaCgkFb8cCA/edit?usp=sharing"",""อุบลราชธานี!I48"")"),1)</f>
        <v>1</v>
      </c>
      <c r="J113" s="205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IFERROR(__xludf.DUMMYFUNCTION("IMPORTRANGE(""https://docs.google.com/spreadsheets/d/1Yj_ptqi66GCucihVvJfMjLAmec39IyEx_6qawtMGysU/edit?usp=sharing"",""สบก!BA57"")"),0)</f>
        <v>0</v>
      </c>
      <c r="N122" s="170">
        <f ca="1">IFERROR(__xludf.DUMMYFUNCTION("IMPORTRANGE(""https://docs.google.com/spreadsheets/d/1Yj_ptqi66GCucihVvJfMjLAmec39IyEx_6qawtMGysU/edit?usp=sharing"",""สบก!BB57"")"),0)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IFERROR(__xludf.DUMMYFUNCTION("IMPORTRANGE(""https://docs.google.com/spreadsheets/d/1Yj_ptqi66GCucihVvJfMjLAmec39IyEx_6qawtMGysU/edit?usp=sharing"",""สบก!AW57"")"),0)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IFERROR(__xludf.DUMMYFUNCTION("IMPORTRANGE(""https://docs.google.com/spreadsheets/d/1Yj_ptqi66GCucihVvJfMjLAmec39IyEx_6qawtMGysU/edit?usp=sharing"",""สบก!AX57"")"),0)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277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IFERROR(__xludf.DUMMYFUNCTION("IMPORTRANGE(""https://docs.google.com/spreadsheets/d/1XL5vhW3sbDhbH9Cz0tuDiY8C3ctxq1tqvaCgkFb8cCA/edit?usp=sharing"",""อุบลราชธานี!I62"")"),0)</f>
        <v>0</v>
      </c>
      <c r="J132" s="205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IFERROR(__xludf.DUMMYFUNCTION("IMPORTRANGE(""https://docs.google.com/spreadsheets/d/1XL5vhW3sbDhbH9Cz0tuDiY8C3ctxq1tqvaCgkFb8cCA/edit?usp=sharing"",""อุบลราชธานี!I63"")"),0)</f>
        <v>0</v>
      </c>
      <c r="J133" s="205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912850</v>
      </c>
      <c r="M140" s="152">
        <f t="shared" ca="1" si="64"/>
        <v>474100</v>
      </c>
      <c r="N140" s="152">
        <f t="shared" ca="1" si="64"/>
        <v>443700</v>
      </c>
      <c r="O140" s="151">
        <f t="shared" ref="O140:O142" ca="1" si="65">IF(L140&gt;0,N140*100/L140,0)</f>
        <v>48.606014131565978</v>
      </c>
      <c r="P140" s="151">
        <f t="shared" ref="P140:P142" ca="1" si="66">IF(M140&gt;0,N140*100/M140,0)</f>
        <v>93.587850664416791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912850</v>
      </c>
      <c r="M142" s="157">
        <f t="shared" ca="1" si="68"/>
        <v>474100</v>
      </c>
      <c r="N142" s="157">
        <f t="shared" ca="1" si="68"/>
        <v>443700</v>
      </c>
      <c r="O142" s="156">
        <f t="shared" ca="1" si="65"/>
        <v>48.606014131565978</v>
      </c>
      <c r="P142" s="156">
        <f t="shared" ca="1" si="66"/>
        <v>93.587850664416791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912850</v>
      </c>
      <c r="M144" s="169">
        <f ca="1">IFERROR(__xludf.DUMMYFUNCTION("IMPORTRANGE(""https://docs.google.com/spreadsheets/d/1Yj_ptqi66GCucihVvJfMjLAmec39IyEx_6qawtMGysU/edit?usp=sharing"",""สบก!BJ57"")"),474100)</f>
        <v>474100</v>
      </c>
      <c r="N144" s="170">
        <f ca="1">IFERROR(__xludf.DUMMYFUNCTION("IMPORTRANGE(""https://docs.google.com/spreadsheets/d/1Yj_ptqi66GCucihVvJfMjLAmec39IyEx_6qawtMGysU/edit?usp=sharing"",""สบก!BK57"")"),443700)</f>
        <v>443700</v>
      </c>
      <c r="O144" s="170">
        <f ca="1">IF(L144&gt;0,N144*100/L144,0)</f>
        <v>48.606014131565978</v>
      </c>
      <c r="P144" s="170">
        <f ca="1">IF(M144&gt;0,N144*100/M144,0)</f>
        <v>93.587850664416791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IFERROR(__xludf.DUMMYFUNCTION("IMPORTRANGE(""https://docs.google.com/spreadsheets/d/1Yj_ptqi66GCucihVvJfMjLAmec39IyEx_6qawtMGysU/edit?usp=sharing"",""สบก!BF57"")"),469000)</f>
        <v>469000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IFERROR(__xludf.DUMMYFUNCTION("IMPORTRANGE(""https://docs.google.com/spreadsheets/d/1Yj_ptqi66GCucihVvJfMjLAmec39IyEx_6qawtMGysU/edit?usp=sharing"",""สบก!BG57"")"),443850)</f>
        <v>443850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IFERROR(__xludf.DUMMYFUNCTION("IMPORTRANGE(""https://docs.google.com/spreadsheets/d/1XL5vhW3sbDhbH9Cz0tuDiY8C3ctxq1tqvaCgkFb8cCA/edit?usp=sharing"",""อุบลราชธานี!J79"")"),0)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IFERROR(__xludf.DUMMYFUNCTION("IMPORTRANGE(""https://docs.google.com/spreadsheets/d/1XL5vhW3sbDhbH9Cz0tuDiY8C3ctxq1tqvaCgkFb8cCA/edit?usp=sharing"",""อุบลราชธานี!J80"")"),1)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IFERROR(__xludf.DUMMYFUNCTION("IMPORTRANGE(""https://docs.google.com/spreadsheets/d/1XL5vhW3sbDhbH9Cz0tuDiY8C3ctxq1tqvaCgkFb8cCA/edit?usp=sharing"",""อุบลราชธานี!J81"")"),1)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IFERROR(__xludf.DUMMYFUNCTION("IMPORTRANGE(""https://docs.google.com/spreadsheets/d/1XL5vhW3sbDhbH9Cz0tuDiY8C3ctxq1tqvaCgkFb8cCA/edit?usp=sharing"",""อุบลราชธานี!J82"")"),1)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IFERROR(__xludf.DUMMYFUNCTION("IMPORTRANGE(""https://docs.google.com/spreadsheets/d/1XL5vhW3sbDhbH9Cz0tuDiY8C3ctxq1tqvaCgkFb8cCA/edit?usp=sharing"",""อุบลราชธานี!I83"")"),4)</f>
        <v>4</v>
      </c>
      <c r="J158" s="190">
        <f ca="1">IFERROR(__xludf.DUMMYFUNCTION("IMPORTRANGE(""https://docs.google.com/spreadsheets/d/1XL5vhW3sbDhbH9Cz0tuDiY8C3ctxq1tqvaCgkFb8cCA/edit?usp=sharing"",""อุบลราชธานี!J83"")"),1)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IFERROR(__xludf.DUMMYFUNCTION("IMPORTRANGE(""https://docs.google.com/spreadsheets/d/1XL5vhW3sbDhbH9Cz0tuDiY8C3ctxq1tqvaCgkFb8cCA/edit?usp=sharing"",""อุบลราชธานี!J84"")"),50)</f>
        <v>50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IFERROR(__xludf.DUMMYFUNCTION("IMPORTRANGE(""https://docs.google.com/spreadsheets/d/1XL5vhW3sbDhbH9Cz0tuDiY8C3ctxq1tqvaCgkFb8cCA/edit?usp=sharing"",""อุบลราชธานี!J85"")"),50)</f>
        <v>50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IFERROR(__xludf.DUMMYFUNCTION("IMPORTRANGE(""https://docs.google.com/spreadsheets/d/1XL5vhW3sbDhbH9Cz0tuDiY8C3ctxq1tqvaCgkFb8cCA/edit?usp=sharing"",""อุบลราชธานี!J86"")"),0)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IFERROR(__xludf.DUMMYFUNCTION("IMPORTRANGE(""https://docs.google.com/spreadsheets/d/1XL5vhW3sbDhbH9Cz0tuDiY8C3ctxq1tqvaCgkFb8cCA/edit?usp=sharing"",""อุบลราชธานี!J87"")"),0)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IFERROR(__xludf.DUMMYFUNCTION("IMPORTRANGE(""https://docs.google.com/spreadsheets/d/1XL5vhW3sbDhbH9Cz0tuDiY8C3ctxq1tqvaCgkFb8cCA/edit?usp=sharing"",""อุบลราชธานี!I89"")"),4)</f>
        <v>4</v>
      </c>
      <c r="J164" s="284">
        <f ca="1">IFERROR(__xludf.DUMMYFUNCTION("IMPORTRANGE(""https://docs.google.com/spreadsheets/d/1XL5vhW3sbDhbH9Cz0tuDiY8C3ctxq1tqvaCgkFb8cCA/edit?usp=sharing"",""อุบลราชธานี!J89"")"),0)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IFERROR(__xludf.DUMMYFUNCTION("IMPORTRANGE(""https://docs.google.com/spreadsheets/d/1XL5vhW3sbDhbH9Cz0tuDiY8C3ctxq1tqvaCgkFb8cCA/edit?usp=sharing"",""อุบลราชธานี!J94"")"),0)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IFERROR(__xludf.DUMMYFUNCTION("IMPORTRANGE(""https://docs.google.com/spreadsheets/d/1XL5vhW3sbDhbH9Cz0tuDiY8C3ctxq1tqvaCgkFb8cCA/edit?usp=sharing"",""อุบลราชธานี!J95"")"),1)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IFERROR(__xludf.DUMMYFUNCTION("IMPORTRANGE(""https://docs.google.com/spreadsheets/d/1XL5vhW3sbDhbH9Cz0tuDiY8C3ctxq1tqvaCgkFb8cCA/edit?usp=sharing"",""อุบลราชธานี!J96"")"),1)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IFERROR(__xludf.DUMMYFUNCTION("IMPORTRANGE(""https://docs.google.com/spreadsheets/d/1XL5vhW3sbDhbH9Cz0tuDiY8C3ctxq1tqvaCgkFb8cCA/edit?usp=sharing"",""อุบลราชธานี!J97"")"),0)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IFERROR(__xludf.DUMMYFUNCTION("IMPORTRANGE(""https://docs.google.com/spreadsheets/d/1XL5vhW3sbDhbH9Cz0tuDiY8C3ctxq1tqvaCgkFb8cCA/edit?usp=sharing"",""อุบลราชธานี!I98"")"),4)</f>
        <v>4</v>
      </c>
      <c r="J173" s="190">
        <f ca="1">IFERROR(__xludf.DUMMYFUNCTION("IMPORTRANGE(""https://docs.google.com/spreadsheets/d/1XL5vhW3sbDhbH9Cz0tuDiY8C3ctxq1tqvaCgkFb8cCA/edit?usp=sharing"",""อุบลราชธานี!J98"")"),0)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IFERROR(__xludf.DUMMYFUNCTION("IMPORTRANGE(""https://docs.google.com/spreadsheets/d/1XL5vhW3sbDhbH9Cz0tuDiY8C3ctxq1tqvaCgkFb8cCA/edit?usp=sharing"",""อุบลราชธานี!J99"")"),0)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IFERROR(__xludf.DUMMYFUNCTION("IMPORTRANGE(""https://docs.google.com/spreadsheets/d/1XL5vhW3sbDhbH9Cz0tuDiY8C3ctxq1tqvaCgkFb8cCA/edit?usp=sharing"",""อุบลราชธานี!J100"")"),0)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IFERROR(__xludf.DUMMYFUNCTION("IMPORTRANGE(""https://docs.google.com/spreadsheets/d/1XL5vhW3sbDhbH9Cz0tuDiY8C3ctxq1tqvaCgkFb8cCA/edit?usp=sharing"",""อุบลราชธานี!I101"")"),2)</f>
        <v>2</v>
      </c>
      <c r="J176" s="284">
        <f ca="1">IFERROR(__xludf.DUMMYFUNCTION("IMPORTRANGE(""https://docs.google.com/spreadsheets/d/1XL5vhW3sbDhbH9Cz0tuDiY8C3ctxq1tqvaCgkFb8cCA/edit?usp=sharing"",""อุบลราชธานี!J101"")"),2)</f>
        <v>2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IFERROR(__xludf.DUMMYFUNCTION("IMPORTRANGE(""https://docs.google.com/spreadsheets/d/1XL5vhW3sbDhbH9Cz0tuDiY8C3ctxq1tqvaCgkFb8cCA/edit?usp=sharing"",""อุบลราชธานี!J107"")"),1)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IFERROR(__xludf.DUMMYFUNCTION("IMPORTRANGE(""https://docs.google.com/spreadsheets/d/1XL5vhW3sbDhbH9Cz0tuDiY8C3ctxq1tqvaCgkFb8cCA/edit?usp=sharing"",""อุบลราชธานี!J108"")"),1)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IFERROR(__xludf.DUMMYFUNCTION("IMPORTRANGE(""https://docs.google.com/spreadsheets/d/1XL5vhW3sbDhbH9Cz0tuDiY8C3ctxq1tqvaCgkFb8cCA/edit?usp=sharing"",""อุบลราชธานี!I110"")"),2)</f>
        <v>2</v>
      </c>
      <c r="J185" s="205">
        <f ca="1">IFERROR(__xludf.DUMMYFUNCTION("IMPORTRANGE(""https://docs.google.com/spreadsheets/d/1XL5vhW3sbDhbH9Cz0tuDiY8C3ctxq1tqvaCgkFb8cCA/edit?usp=sharing"",""อุบลราชธานี!J110"")"),0)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IFERROR(__xludf.DUMMYFUNCTION("IMPORTRANGE(""https://docs.google.com/spreadsheets/d/1XL5vhW3sbDhbH9Cz0tuDiY8C3ctxq1tqvaCgkFb8cCA/edit?usp=sharing"",""อุบลราชธานี!I111"")"),2)</f>
        <v>2</v>
      </c>
      <c r="J186" s="205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IFERROR(__xludf.DUMMYFUNCTION("IMPORTRANGE(""https://docs.google.com/spreadsheets/d/1XL5vhW3sbDhbH9Cz0tuDiY8C3ctxq1tqvaCgkFb8cCA/edit?usp=sharing"",""อุบลราชธานี!J113"")"),0)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4">
        <f ca="1">IFERROR(__xludf.DUMMYFUNCTION("IMPORTRANGE(""https://docs.google.com/spreadsheets/d/1XL5vhW3sbDhbH9Cz0tuDiY8C3ctxq1tqvaCgkFb8cCA/edit?usp=sharing"",""อุบลราชธานี!J114"")"),0)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IFERROR(__xludf.DUMMYFUNCTION("IMPORTRANGE(""https://docs.google.com/spreadsheets/d/1XL5vhW3sbDhbH9Cz0tuDiY8C3ctxq1tqvaCgkFb8cCA/edit?usp=sharing"",""อุบลราชธานี!J119"")"),0)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IFERROR(__xludf.DUMMYFUNCTION("IMPORTRANGE(""https://docs.google.com/spreadsheets/d/1XL5vhW3sbDhbH9Cz0tuDiY8C3ctxq1tqvaCgkFb8cCA/edit?usp=sharing"",""อุบลราชธานี!J120"")"),1)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IFERROR(__xludf.DUMMYFUNCTION("IMPORTRANGE(""https://docs.google.com/spreadsheets/d/1XL5vhW3sbDhbH9Cz0tuDiY8C3ctxq1tqvaCgkFb8cCA/edit?usp=sharing"",""อุบลราชธานี!J121"")"),1)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IFERROR(__xludf.DUMMYFUNCTION("IMPORTRANGE(""https://docs.google.com/spreadsheets/d/1XL5vhW3sbDhbH9Cz0tuDiY8C3ctxq1tqvaCgkFb8cCA/edit?usp=sharing"",""อุบลราชธานี!J122"")"),0)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90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90">
        <f ca="1">IFERROR(__xludf.DUMMYFUNCTION("IMPORTRANGE(""https://docs.google.com/spreadsheets/d/1XL5vhW3sbDhbH9Cz0tuDiY8C3ctxq1tqvaCgkFb8cCA/edit?usp=sharing"",""อุบลราชธานี!J125"")"),0)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IFERROR(__xludf.DUMMYFUNCTION("IMPORTRANGE(""https://docs.google.com/spreadsheets/d/1XL5vhW3sbDhbH9Cz0tuDiY8C3ctxq1tqvaCgkFb8cCA/edit?usp=sharing"",""อุบลราชธานี!I126"")"),0)</f>
        <v>0</v>
      </c>
      <c r="J201" s="190">
        <f ca="1">IFERROR(__xludf.DUMMYFUNCTION("IMPORTRANGE(""https://docs.google.com/spreadsheets/d/1XL5vhW3sbDhbH9Cz0tuDiY8C3ctxq1tqvaCgkFb8cCA/edit?usp=sharing"",""อุบลราชธานี!J126"")"),0)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IFERROR(__xludf.DUMMYFUNCTION("IMPORTRANGE(""https://docs.google.com/spreadsheets/d/1XL5vhW3sbDhbH9Cz0tuDiY8C3ctxq1tqvaCgkFb8cCA/edit?usp=sharing"",""อุบลราชธานี!J127"")"),0)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IFERROR(__xludf.DUMMYFUNCTION("IMPORTRANGE(""https://docs.google.com/spreadsheets/d/1XL5vhW3sbDhbH9Cz0tuDiY8C3ctxq1tqvaCgkFb8cCA/edit?usp=sharing"",""อุบลราชธานี!J128"")"),0)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IFERROR(__xludf.DUMMYFUNCTION("IMPORTRANGE(""https://docs.google.com/spreadsheets/d/1XL5vhW3sbDhbH9Cz0tuDiY8C3ctxq1tqvaCgkFb8cCA/edit?usp=sharing"",""อุบลราชธานี!I129"")"),50)</f>
        <v>50</v>
      </c>
      <c r="J204" s="284">
        <f ca="1">IFERROR(__xludf.DUMMYFUNCTION("IMPORTRANGE(""https://docs.google.com/spreadsheets/d/1XL5vhW3sbDhbH9Cz0tuDiY8C3ctxq1tqvaCgkFb8cCA/edit?usp=sharing"",""อุบลราชธานี!J129"")"),50)</f>
        <v>50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IFERROR(__xludf.DUMMYFUNCTION("IMPORTRANGE(""https://docs.google.com/spreadsheets/d/1XL5vhW3sbDhbH9Cz0tuDiY8C3ctxq1tqvaCgkFb8cCA/edit?usp=sharing"",""อุบลราชธานี!I138"")"),50)</f>
        <v>50</v>
      </c>
      <c r="J213" s="205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IFERROR(__xludf.DUMMYFUNCTION("IMPORTRANGE(""https://docs.google.com/spreadsheets/d/1XL5vhW3sbDhbH9Cz0tuDiY8C3ctxq1tqvaCgkFb8cCA/edit?usp=sharing"",""อุบลราชธานี!I140"")"),0)</f>
        <v>0</v>
      </c>
      <c r="J215" s="205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IFERROR(__xludf.DUMMYFUNCTION("IMPORTRANGE(""https://docs.google.com/spreadsheets/d/1XL5vhW3sbDhbH9Cz0tuDiY8C3ctxq1tqvaCgkFb8cCA/edit?usp=sharing"",""อุบลราชธานี!I141"")"),15)</f>
        <v>15</v>
      </c>
      <c r="J216" s="205">
        <f ca="1">IFERROR(__xludf.DUMMYFUNCTION("IMPORTRANGE(""https://docs.google.com/spreadsheets/d/1XL5vhW3sbDhbH9Cz0tuDiY8C3ctxq1tqvaCgkFb8cCA/edit?usp=sharing"",""อุบลราชธานี!J141"")"),0)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IFERROR(__xludf.DUMMYFUNCTION("IMPORTRANGE(""https://docs.google.com/spreadsheets/d/1Yj_ptqi66GCucihVvJfMjLAmec39IyEx_6qawtMGysU/edit?usp=sharing"",""สบก!BS57"")"),21125)</f>
        <v>21125</v>
      </c>
      <c r="N224" s="170">
        <f ca="1">IFERROR(__xludf.DUMMYFUNCTION("IMPORTRANGE(""https://docs.google.com/spreadsheets/d/1Yj_ptqi66GCucihVvJfMjLAmec39IyEx_6qawtMGysU/edit?usp=sharing"",""สบก!BT57"")"),0)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IFERROR(__xludf.DUMMYFUNCTION("IMPORTRANGE(""https://docs.google.com/spreadsheets/d/1Yj_ptqi66GCucihVvJfMjLAmec39IyEx_6qawtMGysU/edit?usp=sharing"",""สบก!BO57"")"),0)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IFERROR(__xludf.DUMMYFUNCTION("IMPORTRANGE(""https://docs.google.com/spreadsheets/d/1Yj_ptqi66GCucihVvJfMjLAmec39IyEx_6qawtMGysU/edit?usp=sharing"",""สบก!BP57"")"),21125)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IFERROR(__xludf.DUMMYFUNCTION("IMPORTRANGE(""https://docs.google.com/spreadsheets/d/1XL5vhW3sbDhbH9Cz0tuDiY8C3ctxq1tqvaCgkFb8cCA/edit?usp=sharing"",""อุบลราชธานี!J151"")"),0)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IFERROR(__xludf.DUMMYFUNCTION("IMPORTRANGE(""https://docs.google.com/spreadsheets/d/1XL5vhW3sbDhbH9Cz0tuDiY8C3ctxq1tqvaCgkFb8cCA/edit?usp=sharing"",""อุบลราชธานี!J152"")"),1)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IFERROR(__xludf.DUMMYFUNCTION("IMPORTRANGE(""https://docs.google.com/spreadsheets/d/1XL5vhW3sbDhbH9Cz0tuDiY8C3ctxq1tqvaCgkFb8cCA/edit?usp=sharing"",""อุบลราชธานี!J153"")"),1)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IFERROR(__xludf.DUMMYFUNCTION("IMPORTRANGE(""https://docs.google.com/spreadsheets/d/1XL5vhW3sbDhbH9Cz0tuDiY8C3ctxq1tqvaCgkFb8cCA/edit?usp=sharing"",""อุบลราชธานี!J154"")"),0)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IFERROR(__xludf.DUMMYFUNCTION("IMPORTRANGE(""https://docs.google.com/spreadsheets/d/1XL5vhW3sbDhbH9Cz0tuDiY8C3ctxq1tqvaCgkFb8cCA/edit?usp=sharing"",""อุบลราชธานี!I155"")"),15)</f>
        <v>15</v>
      </c>
      <c r="J235" s="190">
        <f ca="1">IFERROR(__xludf.DUMMYFUNCTION("IMPORTRANGE(""https://docs.google.com/spreadsheets/d/1XL5vhW3sbDhbH9Cz0tuDiY8C3ctxq1tqvaCgkFb8cCA/edit?usp=sharing"",""อุบลราชธานี!J155"")"),0)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IFERROR(__xludf.DUMMYFUNCTION("IMPORTRANGE(""https://docs.google.com/spreadsheets/d/1XL5vhW3sbDhbH9Cz0tuDiY8C3ctxq1tqvaCgkFb8cCA/edit?usp=sharing"",""อุบลราชธานี!J156"")"),0)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IFERROR(__xludf.DUMMYFUNCTION("IMPORTRANGE(""https://docs.google.com/spreadsheets/d/1XL5vhW3sbDhbH9Cz0tuDiY8C3ctxq1tqvaCgkFb8cCA/edit?usp=sharing"",""อุบลราชธานี!J157"")"),0)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IFERROR(__xludf.DUMMYFUNCTION("IMPORTRANGE(""https://docs.google.com/spreadsheets/d/1XL5vhW3sbDhbH9Cz0tuDiY8C3ctxq1tqvaCgkFb8cCA/edit?usp=sharing"",""อุบลราชธานี!J159"")"),"")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IFERROR(__xludf.DUMMYFUNCTION("IMPORTRANGE(""https://docs.google.com/spreadsheets/d/1XL5vhW3sbDhbH9Cz0tuDiY8C3ctxq1tqvaCgkFb8cCA/edit?usp=sharing"",""อุบลราชธานี!J161"")"),0)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IFERROR(__xludf.DUMMYFUNCTION("IMPORTRANGE(""https://docs.google.com/spreadsheets/d/1XL5vhW3sbDhbH9Cz0tuDiY8C3ctxq1tqvaCgkFb8cCA/edit?usp=sharing"",""อุบลราชธานี!J162"")"),0)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IFERROR(__xludf.DUMMYFUNCTION("IMPORTRANGE(""https://docs.google.com/spreadsheets/d/1XL5vhW3sbDhbH9Cz0tuDiY8C3ctxq1tqvaCgkFb8cCA/edit?usp=sharing"",""อุบลราชธานี!J163"")"),0)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IFERROR(__xludf.DUMMYFUNCTION("IMPORTRANGE(""https://docs.google.com/spreadsheets/d/1XL5vhW3sbDhbH9Cz0tuDiY8C3ctxq1tqvaCgkFb8cCA/edit?usp=sharing"",""อุบลราชธานี!I164"")"),0)</f>
        <v>0</v>
      </c>
      <c r="J244" s="189">
        <f ca="1">IFERROR(__xludf.DUMMYFUNCTION("IMPORTRANGE(""https://docs.google.com/spreadsheets/d/1XL5vhW3sbDhbH9Cz0tuDiY8C3ctxq1tqvaCgkFb8cCA/edit?usp=sharing"",""อุบลราชธานี!J164"")"),0)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IFERROR(__xludf.DUMMYFUNCTION("IMPORTRANGE(""https://docs.google.com/spreadsheets/d/1XL5vhW3sbDhbH9Cz0tuDiY8C3ctxq1tqvaCgkFb8cCA/edit?usp=sharing"",""อุบลราชธานี!J165"")"),0)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IFERROR(__xludf.DUMMYFUNCTION("IMPORTRANGE(""https://docs.google.com/spreadsheets/d/1XL5vhW3sbDhbH9Cz0tuDiY8C3ctxq1tqvaCgkFb8cCA/edit?usp=sharing"",""อุบลราชธานี!I169"")"),25)</f>
        <v>25</v>
      </c>
      <c r="J249" s="316">
        <f ca="1">IFERROR(__xludf.DUMMYFUNCTION("IMPORTRANGE(""https://docs.google.com/spreadsheets/d/1XL5vhW3sbDhbH9Cz0tuDiY8C3ctxq1tqvaCgkFb8cCA/edit?usp=sharing"",""อุบลราชธานี!J169"")"),25)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38018</v>
      </c>
      <c r="O250" s="151">
        <f t="shared" ref="O250:O252" ca="1" si="78">IF(L250&gt;0,N250*100/L250,0)</f>
        <v>42.716853932584272</v>
      </c>
      <c r="P250" s="151">
        <f t="shared" ref="P250:P252" ca="1" si="79">IF(M250&gt;0,N250*100/M250,0)</f>
        <v>89.454117647058823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38018</v>
      </c>
      <c r="O252" s="156">
        <f t="shared" ca="1" si="78"/>
        <v>42.716853932584272</v>
      </c>
      <c r="P252" s="156">
        <f t="shared" ca="1" si="79"/>
        <v>89.454117647058823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169">
        <f ca="1">IFERROR(__xludf.DUMMYFUNCTION("IMPORTRANGE(""https://docs.google.com/spreadsheets/d/1Yj_ptqi66GCucihVvJfMjLAmec39IyEx_6qawtMGysU/edit?usp=sharing"",""สบก!CB57"")"),42500)</f>
        <v>42500</v>
      </c>
      <c r="N254" s="170">
        <f ca="1">IFERROR(__xludf.DUMMYFUNCTION("IMPORTRANGE(""https://docs.google.com/spreadsheets/d/1Yj_ptqi66GCucihVvJfMjLAmec39IyEx_6qawtMGysU/edit?usp=sharing"",""สบก!CC57"")"),38018)</f>
        <v>38018</v>
      </c>
      <c r="O254" s="170">
        <f ca="1">IF(L254&gt;0,N254*100/L254,0)</f>
        <v>42.716853932584272</v>
      </c>
      <c r="P254" s="170">
        <f ca="1">IF(M254&gt;0,N254*100/M254,0)</f>
        <v>89.454117647058823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IFERROR(__xludf.DUMMYFUNCTION("IMPORTRANGE(""https://docs.google.com/spreadsheets/d/1Yj_ptqi66GCucihVvJfMjLAmec39IyEx_6qawtMGysU/edit?usp=sharing"",""สบก!BX57"")"),0)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IFERROR(__xludf.DUMMYFUNCTION("IMPORTRANGE(""https://docs.google.com/spreadsheets/d/1Yj_ptqi66GCucihVvJfMjLAmec39IyEx_6qawtMGysU/edit?usp=sharing"",""สบก!BY57"")"),89000)</f>
        <v>89000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IFERROR(__xludf.DUMMYFUNCTION("IMPORTRANGE(""https://docs.google.com/spreadsheets/d/1XL5vhW3sbDhbH9Cz0tuDiY8C3ctxq1tqvaCgkFb8cCA/edit?usp=sharing"",""อุบลราชธานี!J175"")"),0)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IFERROR(__xludf.DUMMYFUNCTION("IMPORTRANGE(""https://docs.google.com/spreadsheets/d/1XL5vhW3sbDhbH9Cz0tuDiY8C3ctxq1tqvaCgkFb8cCA/edit?usp=sharing"",""อุบลราชธานี!J176"")"),1)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IFERROR(__xludf.DUMMYFUNCTION("IMPORTRANGE(""https://docs.google.com/spreadsheets/d/1XL5vhW3sbDhbH9Cz0tuDiY8C3ctxq1tqvaCgkFb8cCA/edit?usp=sharing"",""อุบลราชธานี!J177"")"),1)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IFERROR(__xludf.DUMMYFUNCTION("IMPORTRANGE(""https://docs.google.com/spreadsheets/d/1XL5vhW3sbDhbH9Cz0tuDiY8C3ctxq1tqvaCgkFb8cCA/edit?usp=sharing"",""อุบลราชธานี!J178"")"),1)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IFERROR(__xludf.DUMMYFUNCTION("IMPORTRANGE(""https://docs.google.com/spreadsheets/d/1XL5vhW3sbDhbH9Cz0tuDiY8C3ctxq1tqvaCgkFb8cCA/edit?usp=sharing"",""อุบลราชธานี!I179"")"),1)</f>
        <v>1</v>
      </c>
      <c r="J264" s="190">
        <f ca="1">IFERROR(__xludf.DUMMYFUNCTION("IMPORTRANGE(""https://docs.google.com/spreadsheets/d/1XL5vhW3sbDhbH9Cz0tuDiY8C3ctxq1tqvaCgkFb8cCA/edit?usp=sharing"",""อุบลราชธานี!J179"")"),1)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IFERROR(__xludf.DUMMYFUNCTION("IMPORTRANGE(""https://docs.google.com/spreadsheets/d/1XL5vhW3sbDhbH9Cz0tuDiY8C3ctxq1tqvaCgkFb8cCA/edit?usp=sharing"",""อุบลราชธานี!I180"")"),25)</f>
        <v>25</v>
      </c>
      <c r="J265" s="190">
        <f ca="1">IFERROR(__xludf.DUMMYFUNCTION("IMPORTRANGE(""https://docs.google.com/spreadsheets/d/1XL5vhW3sbDhbH9Cz0tuDiY8C3ctxq1tqvaCgkFb8cCA/edit?usp=sharing"",""อุบลราชธานี!J180"")"),25)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IFERROR(__xludf.DUMMYFUNCTION("IMPORTRANGE(""https://docs.google.com/spreadsheets/d/1XL5vhW3sbDhbH9Cz0tuDiY8C3ctxq1tqvaCgkFb8cCA/edit?usp=sharing"",""อุบลราชธานี!I181"")"),25)</f>
        <v>25</v>
      </c>
      <c r="J266" s="190">
        <f ca="1">IFERROR(__xludf.DUMMYFUNCTION("IMPORTRANGE(""https://docs.google.com/spreadsheets/d/1XL5vhW3sbDhbH9Cz0tuDiY8C3ctxq1tqvaCgkFb8cCA/edit?usp=sharing"",""อุบลราชธานี!J181"")"),0)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IFERROR(__xludf.DUMMYFUNCTION("IMPORTRANGE(""https://docs.google.com/spreadsheets/d/1XL5vhW3sbDhbH9Cz0tuDiY8C3ctxq1tqvaCgkFb8cCA/edit?usp=sharing"",""อุบลราชธานี!I182"")"),1)</f>
        <v>1</v>
      </c>
      <c r="J267" s="190">
        <f ca="1">IFERROR(__xludf.DUMMYFUNCTION("IMPORTRANGE(""https://docs.google.com/spreadsheets/d/1XL5vhW3sbDhbH9Cz0tuDiY8C3ctxq1tqvaCgkFb8cCA/edit?usp=sharing"",""อุบลราชธานี!J182"")"),1)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IFERROR(__xludf.DUMMYFUNCTION("IMPORTRANGE(""https://docs.google.com/spreadsheets/d/1XL5vhW3sbDhbH9Cz0tuDiY8C3ctxq1tqvaCgkFb8cCA/edit?usp=sharing"",""อุบลราชธานี!J183"")"),0)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IFERROR(__xludf.DUMMYFUNCTION("IMPORTRANGE(""https://docs.google.com/spreadsheets/d/1XL5vhW3sbDhbH9Cz0tuDiY8C3ctxq1tqvaCgkFb8cCA/edit?usp=sharing"",""อุบลราชธานี!J184"")"),0)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IFERROR(__xludf.DUMMYFUNCTION("IMPORTRANGE(""https://docs.google.com/spreadsheets/d/1XL5vhW3sbDhbH9Cz0tuDiY8C3ctxq1tqvaCgkFb8cCA/edit?usp=sharing"",""อุบลราชธานี!I185"")"),20)</f>
        <v>20</v>
      </c>
      <c r="J270" s="316">
        <f ca="1">IFERROR(__xludf.DUMMYFUNCTION("IMPORTRANGE(""https://docs.google.com/spreadsheets/d/1XL5vhW3sbDhbH9Cz0tuDiY8C3ctxq1tqvaCgkFb8cCA/edit?usp=sharing"",""อุบลราชธานี!J185"")"),20)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93000</v>
      </c>
      <c r="N271" s="152">
        <f t="shared" ca="1" si="83"/>
        <v>80055</v>
      </c>
      <c r="O271" s="151">
        <f t="shared" ref="O271:O273" ca="1" si="84">IF(L271&gt;0,N271*100/L271,0)</f>
        <v>43.602941176470587</v>
      </c>
      <c r="P271" s="151">
        <f t="shared" ref="P271:P273" ca="1" si="85">IF(M271&gt;0,N271*100/M271,0)</f>
        <v>86.08064516129032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93000</v>
      </c>
      <c r="N273" s="157">
        <f t="shared" ca="1" si="87"/>
        <v>80055</v>
      </c>
      <c r="O273" s="156">
        <f t="shared" ca="1" si="84"/>
        <v>43.602941176470587</v>
      </c>
      <c r="P273" s="156">
        <f t="shared" ca="1" si="85"/>
        <v>86.08064516129032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IFERROR(__xludf.DUMMYFUNCTION("IMPORTRANGE(""https://docs.google.com/spreadsheets/d/1Yj_ptqi66GCucihVvJfMjLAmec39IyEx_6qawtMGysU/edit?usp=sharing"",""สบก!CK57"")"),93000)</f>
        <v>93000</v>
      </c>
      <c r="N275" s="170">
        <f ca="1">IFERROR(__xludf.DUMMYFUNCTION("IMPORTRANGE(""https://docs.google.com/spreadsheets/d/1Yj_ptqi66GCucihVvJfMjLAmec39IyEx_6qawtMGysU/edit?usp=sharing"",""สบก!CL57"")"),80055)</f>
        <v>80055</v>
      </c>
      <c r="O275" s="170">
        <f ca="1">IF(L275&gt;0,N275*100/L275,0)</f>
        <v>43.602941176470587</v>
      </c>
      <c r="P275" s="170">
        <f ca="1">IF(M275&gt;0,N275*100/M275,0)</f>
        <v>86.08064516129032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IFERROR(__xludf.DUMMYFUNCTION("IMPORTRANGE(""https://docs.google.com/spreadsheets/d/1Yj_ptqi66GCucihVvJfMjLAmec39IyEx_6qawtMGysU/edit?usp=sharing"",""สบก!CG57"")"),0)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IFERROR(__xludf.DUMMYFUNCTION("IMPORTRANGE(""https://docs.google.com/spreadsheets/d/1Yj_ptqi66GCucihVvJfMjLAmec39IyEx_6qawtMGysU/edit?usp=sharing"",""สบก!CH57"")"),183600)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IFERROR(__xludf.DUMMYFUNCTION("IMPORTRANGE(""https://docs.google.com/spreadsheets/d/1XL5vhW3sbDhbH9Cz0tuDiY8C3ctxq1tqvaCgkFb8cCA/edit?usp=sharing"",""อุบลราชธานี!J191"")"),0)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IFERROR(__xludf.DUMMYFUNCTION("IMPORTRANGE(""https://docs.google.com/spreadsheets/d/1XL5vhW3sbDhbH9Cz0tuDiY8C3ctxq1tqvaCgkFb8cCA/edit?usp=sharing"",""อุบลราชธานี!J192"")"),1)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IFERROR(__xludf.DUMMYFUNCTION("IMPORTRANGE(""https://docs.google.com/spreadsheets/d/1XL5vhW3sbDhbH9Cz0tuDiY8C3ctxq1tqvaCgkFb8cCA/edit?usp=sharing"",""อุบลราชธานี!J193"")"),1)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IFERROR(__xludf.DUMMYFUNCTION("IMPORTRANGE(""https://docs.google.com/spreadsheets/d/1XL5vhW3sbDhbH9Cz0tuDiY8C3ctxq1tqvaCgkFb8cCA/edit?usp=sharing"",""อุบลราชธานี!J194"")"),1)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IFERROR(__xludf.DUMMYFUNCTION("IMPORTRANGE(""https://docs.google.com/spreadsheets/d/1XL5vhW3sbDhbH9Cz0tuDiY8C3ctxq1tqvaCgkFb8cCA/edit?usp=sharing"",""อุบลราชธานี!I195"")"),20)</f>
        <v>20</v>
      </c>
      <c r="J285" s="190">
        <f ca="1">IFERROR(__xludf.DUMMYFUNCTION("IMPORTRANGE(""https://docs.google.com/spreadsheets/d/1XL5vhW3sbDhbH9Cz0tuDiY8C3ctxq1tqvaCgkFb8cCA/edit?usp=sharing"",""อุบลราชธานี!J195"")"),20)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IFERROR(__xludf.DUMMYFUNCTION("IMPORTRANGE(""https://docs.google.com/spreadsheets/d/1XL5vhW3sbDhbH9Cz0tuDiY8C3ctxq1tqvaCgkFb8cCA/edit?usp=sharing"",""อุบลราชธานี!J196"")"),0)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IFERROR(__xludf.DUMMYFUNCTION("IMPORTRANGE(""https://docs.google.com/spreadsheets/d/1XL5vhW3sbDhbH9Cz0tuDiY8C3ctxq1tqvaCgkFb8cCA/edit?usp=sharing"",""อุบลราชธานี!I199"")"),0)</f>
        <v>0</v>
      </c>
      <c r="J289" s="316">
        <f ca="1">IFERROR(__xludf.DUMMYFUNCTION("IMPORTRANGE(""https://docs.google.com/spreadsheets/d/1XL5vhW3sbDhbH9Cz0tuDiY8C3ctxq1tqvaCgkFb8cCA/edit?usp=sharing"",""อุบลราชธานี!J199"")"),0)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IFERROR(__xludf.DUMMYFUNCTION("IMPORTRANGE(""https://docs.google.com/spreadsheets/d/1Yj_ptqi66GCucihVvJfMjLAmec39IyEx_6qawtMGysU/edit?usp=sharing"",""สบก!CT57"")"),0)</f>
        <v>0</v>
      </c>
      <c r="N294" s="170">
        <f ca="1">IFERROR(__xludf.DUMMYFUNCTION("IMPORTRANGE(""https://docs.google.com/spreadsheets/d/1Yj_ptqi66GCucihVvJfMjLAmec39IyEx_6qawtMGysU/edit?usp=sharing"",""สบก!CU57"")"),0)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IFERROR(__xludf.DUMMYFUNCTION("IMPORTRANGE(""https://docs.google.com/spreadsheets/d/1Yj_ptqi66GCucihVvJfMjLAmec39IyEx_6qawtMGysU/edit?usp=sharing"",""สบก!CP57"")"),0)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IFERROR(__xludf.DUMMYFUNCTION("IMPORTRANGE(""https://docs.google.com/spreadsheets/d/1Yj_ptqi66GCucihVvJfMjLAmec39IyEx_6qawtMGysU/edit?usp=sharing"",""สบก!CQ57"")"),0)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IFERROR(__xludf.DUMMYFUNCTION("IMPORTRANGE(""https://docs.google.com/spreadsheets/d/1XL5vhW3sbDhbH9Cz0tuDiY8C3ctxq1tqvaCgkFb8cCA/edit?usp=sharing"",""อุบลราชธานี!I209"")"),0)</f>
        <v>0</v>
      </c>
      <c r="J304" s="205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IFERROR(__xludf.DUMMYFUNCTION("IMPORTRANGE(""https://docs.google.com/spreadsheets/d/1XL5vhW3sbDhbH9Cz0tuDiY8C3ctxq1tqvaCgkFb8cCA/edit?usp=sharing"",""อุบลราชธานี!I211"")"),0)</f>
        <v>0</v>
      </c>
      <c r="J306" s="205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IFERROR(__xludf.DUMMYFUNCTION("IMPORTRANGE(""https://docs.google.com/spreadsheets/d/1XL5vhW3sbDhbH9Cz0tuDiY8C3ctxq1tqvaCgkFb8cCA/edit?usp=sharing"",""อุบลราชธานี!I214"")"),0)</f>
        <v>0</v>
      </c>
      <c r="J309" s="333">
        <f ca="1">IFERROR(__xludf.DUMMYFUNCTION("IMPORTRANGE(""https://docs.google.com/spreadsheets/d/1XL5vhW3sbDhbH9Cz0tuDiY8C3ctxq1tqvaCgkFb8cCA/edit?usp=sharing"",""อุบลราชธานี!J214"")"),0)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IFERROR(__xludf.DUMMYFUNCTION("IMPORTRANGE(""https://docs.google.com/spreadsheets/d/1Yj_ptqi66GCucihVvJfMjLAmec39IyEx_6qawtMGysU/edit?usp=sharing"",""สบก!DC57"")"),0)</f>
        <v>0</v>
      </c>
      <c r="N314" s="170">
        <f ca="1">IFERROR(__xludf.DUMMYFUNCTION("IMPORTRANGE(""https://docs.google.com/spreadsheets/d/1Yj_ptqi66GCucihVvJfMjLAmec39IyEx_6qawtMGysU/edit?usp=sharing"",""สบก!DD57"")"),0)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IFERROR(__xludf.DUMMYFUNCTION("IMPORTRANGE(""https://docs.google.com/spreadsheets/d/1Yj_ptqi66GCucihVvJfMjLAmec39IyEx_6qawtMGysU/edit?usp=sharing"",""สบก!CY57"")"),0)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IFERROR(__xludf.DUMMYFUNCTION("IMPORTRANGE(""https://docs.google.com/spreadsheets/d/1Yj_ptqi66GCucihVvJfMjLAmec39IyEx_6qawtMGysU/edit?usp=sharing"",""สบก!CZ57"")"),0)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IFERROR(__xludf.DUMMYFUNCTION("IMPORTRANGE(""https://docs.google.com/spreadsheets/d/1XL5vhW3sbDhbH9Cz0tuDiY8C3ctxq1tqvaCgkFb8cCA/edit?usp=sharing"",""อุบลราชธานี!I224"")"),0)</f>
        <v>0</v>
      </c>
      <c r="J324" s="205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IFERROR(__xludf.DUMMYFUNCTION("IMPORTRANGE(""https://docs.google.com/spreadsheets/d/1XL5vhW3sbDhbH9Cz0tuDiY8C3ctxq1tqvaCgkFb8cCA/edit?usp=sharing"",""อุบลราชธานี!I228"")"),820)</f>
        <v>820</v>
      </c>
      <c r="J328" s="339">
        <f ca="1">IFERROR(__xludf.DUMMYFUNCTION("IMPORTRANGE(""https://docs.google.com/spreadsheets/d/1XL5vhW3sbDhbH9Cz0tuDiY8C3ctxq1tqvaCgkFb8cCA/edit?usp=sharing"",""อุบลราชธานี!J228"")"),98)</f>
        <v>98</v>
      </c>
      <c r="K328" s="317">
        <f ca="1">IF(I328&gt;0,J328*100/I328,0)</f>
        <v>11.951219512195122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1589650</v>
      </c>
      <c r="M329" s="152">
        <f t="shared" ca="1" si="98"/>
        <v>924190</v>
      </c>
      <c r="N329" s="152">
        <f t="shared" ca="1" si="98"/>
        <v>818305</v>
      </c>
      <c r="O329" s="151">
        <f t="shared" ref="O329:O331" ca="1" si="99">IF(L329&gt;0,N329*100/L329,0)</f>
        <v>51.477054697574935</v>
      </c>
      <c r="P329" s="151">
        <f t="shared" ref="P329:P331" ca="1" si="100">IF(M329&gt;0,N329*100/M329,0)</f>
        <v>88.54294030448284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1589650</v>
      </c>
      <c r="M331" s="157">
        <f t="shared" ca="1" si="102"/>
        <v>924190</v>
      </c>
      <c r="N331" s="157">
        <f t="shared" ca="1" si="102"/>
        <v>818305</v>
      </c>
      <c r="O331" s="156">
        <f t="shared" ca="1" si="99"/>
        <v>51.477054697574935</v>
      </c>
      <c r="P331" s="156">
        <f t="shared" ca="1" si="100"/>
        <v>88.54294030448284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1589650</v>
      </c>
      <c r="M333" s="169">
        <f ca="1">IFERROR(__xludf.DUMMYFUNCTION("IMPORTRANGE(""https://docs.google.com/spreadsheets/d/1Yj_ptqi66GCucihVvJfMjLAmec39IyEx_6qawtMGysU/edit?usp=sharing"",""สบก!DL57"")"),924190)</f>
        <v>924190</v>
      </c>
      <c r="N333" s="170">
        <f ca="1">IFERROR(__xludf.DUMMYFUNCTION("IMPORTRANGE(""https://docs.google.com/spreadsheets/d/1Yj_ptqi66GCucihVvJfMjLAmec39IyEx_6qawtMGysU/edit?usp=sharing"",""สบก!DM57"")"),818305)</f>
        <v>818305</v>
      </c>
      <c r="O333" s="170">
        <f ca="1">IF(L333&gt;0,N333*100/L333,0)</f>
        <v>51.477054697574935</v>
      </c>
      <c r="P333" s="170">
        <f ca="1">IF(M333&gt;0,N333*100/M333,0)</f>
        <v>88.54294030448284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IFERROR(__xludf.DUMMYFUNCTION("IMPORTRANGE(""https://docs.google.com/spreadsheets/d/1Yj_ptqi66GCucihVvJfMjLAmec39IyEx_6qawtMGysU/edit?usp=sharing"",""สบก!DH57"")"),500400)</f>
        <v>500400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IFERROR(__xludf.DUMMYFUNCTION("IMPORTRANGE(""https://docs.google.com/spreadsheets/d/1Yj_ptqi66GCucihVvJfMjLAmec39IyEx_6qawtMGysU/edit?usp=sharing"",""สบก!DI57"")"),1089250)</f>
        <v>1089250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IFERROR(__xludf.DUMMYFUNCTION("IMPORTRANGE(""https://docs.google.com/spreadsheets/d/1XL5vhW3sbDhbH9Cz0tuDiY8C3ctxq1tqvaCgkFb8cCA/edit?usp=sharing"",""อุบลราชธานี!I234"")"),0)</f>
        <v>0</v>
      </c>
      <c r="J339" s="189">
        <f ca="1">IFERROR(__xludf.DUMMYFUNCTION("IMPORTRANGE(""https://docs.google.com/spreadsheets/d/1XL5vhW3sbDhbH9Cz0tuDiY8C3ctxq1tqvaCgkFb8cCA/edit?usp=sharing"",""อุบลราชธานี!J234"")"),581)</f>
        <v>581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IFERROR(__xludf.DUMMYFUNCTION("IMPORTRANGE(""https://docs.google.com/spreadsheets/d/1XL5vhW3sbDhbH9Cz0tuDiY8C3ctxq1tqvaCgkFb8cCA/edit?usp=sharing"",""อุบลราชธานี!I235"")"),6640)</f>
        <v>6640</v>
      </c>
      <c r="J340" s="189">
        <f ca="1">IFERROR(__xludf.DUMMYFUNCTION("IMPORTRANGE(""https://docs.google.com/spreadsheets/d/1XL5vhW3sbDhbH9Cz0tuDiY8C3ctxq1tqvaCgkFb8cCA/edit?usp=sharing"",""อุบลราชธานี!J235"")"),4231.7)</f>
        <v>4231.7</v>
      </c>
      <c r="K340" s="342">
        <f t="shared" ca="1" si="103"/>
        <v>63.730421686746986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IFERROR(__xludf.DUMMYFUNCTION("IMPORTRANGE(""https://docs.google.com/spreadsheets/d/1XL5vhW3sbDhbH9Cz0tuDiY8C3ctxq1tqvaCgkFb8cCA/edit?usp=sharing"",""อุบลราชธานี!I236"")"),820)</f>
        <v>820</v>
      </c>
      <c r="J341" s="189">
        <f ca="1">IFERROR(__xludf.DUMMYFUNCTION("IMPORTRANGE(""https://docs.google.com/spreadsheets/d/1XL5vhW3sbDhbH9Cz0tuDiY8C3ctxq1tqvaCgkFb8cCA/edit?usp=sharing"",""อุบลราชธานี!J236"")"),401)</f>
        <v>401</v>
      </c>
      <c r="K341" s="342">
        <f t="shared" ca="1" si="103"/>
        <v>48.902439024390247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9">
        <f ca="1">IFERROR(__xludf.DUMMYFUNCTION("IMPORTRANGE(""https://docs.google.com/spreadsheets/d/1XL5vhW3sbDhbH9Cz0tuDiY8C3ctxq1tqvaCgkFb8cCA/edit?usp=sharing"",""อุบลราชธานี!J237"")"),3815.93999999999)</f>
        <v>3815.9399999999901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IFERROR(__xludf.DUMMYFUNCTION("IMPORTRANGE(""https://docs.google.com/spreadsheets/d/1XL5vhW3sbDhbH9Cz0tuDiY8C3ctxq1tqvaCgkFb8cCA/edit?usp=sharing"",""อุบลราชธานี!I238"")"),820)</f>
        <v>820</v>
      </c>
      <c r="J343" s="189">
        <f ca="1">IFERROR(__xludf.DUMMYFUNCTION("IMPORTRANGE(""https://docs.google.com/spreadsheets/d/1XL5vhW3sbDhbH9Cz0tuDiY8C3ctxq1tqvaCgkFb8cCA/edit?usp=sharing"",""อุบลราชธานี!J238"")"),1)</f>
        <v>1</v>
      </c>
      <c r="K343" s="342">
        <f t="shared" ca="1" si="103"/>
        <v>0.12195121951219512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9">
        <f ca="1">IFERROR(__xludf.DUMMYFUNCTION("IMPORTRANGE(""https://docs.google.com/spreadsheets/d/1XL5vhW3sbDhbH9Cz0tuDiY8C3ctxq1tqvaCgkFb8cCA/edit?usp=sharing"",""อุบลราชธานี!J239"")"),4.05)</f>
        <v>4.05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IFERROR(__xludf.DUMMYFUNCTION("IMPORTRANGE(""https://docs.google.com/spreadsheets/d/1XL5vhW3sbDhbH9Cz0tuDiY8C3ctxq1tqvaCgkFb8cCA/edit?usp=sharing"",""อุบลราชธานี!I240"")"),820)</f>
        <v>820</v>
      </c>
      <c r="J345" s="189">
        <f ca="1">IFERROR(__xludf.DUMMYFUNCTION("IMPORTRANGE(""https://docs.google.com/spreadsheets/d/1XL5vhW3sbDhbH9Cz0tuDiY8C3ctxq1tqvaCgkFb8cCA/edit?usp=sharing"",""อุบลราชธานี!J240"")"),98)</f>
        <v>98</v>
      </c>
      <c r="K345" s="342">
        <f t="shared" ca="1" si="103"/>
        <v>11.951219512195122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9">
        <f ca="1">IFERROR(__xludf.DUMMYFUNCTION("IMPORTRANGE(""https://docs.google.com/spreadsheets/d/1XL5vhW3sbDhbH9Cz0tuDiY8C3ctxq1tqvaCgkFb8cCA/edit?usp=sharing"",""อุบลราชธานี!J241"")"),1194.24)</f>
        <v>1194.24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IFERROR(__xludf.DUMMYFUNCTION("IMPORTRANGE(""https://docs.google.com/spreadsheets/d/1XL5vhW3sbDhbH9Cz0tuDiY8C3ctxq1tqvaCgkFb8cCA/edit?usp=sharing"",""อุบลราชธานี!L242"")"),3381245)</f>
        <v>3381245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IFERROR(__xludf.DUMMYFUNCTION("IMPORTRANGE(""https://docs.google.com/spreadsheets/d/1XL5vhW3sbDhbH9Cz0tuDiY8C3ctxq1tqvaCgkFb8cCA/edit?usp=sharing"",""อุบลราชธานี!M242"")"),912562.8)</f>
        <v>912562.8</v>
      </c>
      <c r="O347" s="358">
        <f ca="1">+IF(L347&gt;0,N347*100/L347,0)</f>
        <v>26.988958209180346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IFERROR(__xludf.DUMMYFUNCTION("IMPORTRANGE(""https://docs.google.com/spreadsheets/d/1XL5vhW3sbDhbH9Cz0tuDiY8C3ctxq1tqvaCgkFb8cCA/edit?usp=sharing"",""อุบลราชธานี!M244"")"),150666)</f>
        <v>150666</v>
      </c>
      <c r="O349" s="373">
        <f ca="1">+IF(L349&gt;0,N349*100/L349,0)</f>
        <v>27.384855865353156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IFERROR(__xludf.DUMMYFUNCTION("IMPORTRANGE(""https://docs.google.com/spreadsheets/d/1XL5vhW3sbDhbH9Cz0tuDiY8C3ctxq1tqvaCgkFb8cCA/edit?usp=sharing"",""อุบลราชธานี!L246"")"),0)</f>
        <v>0</v>
      </c>
      <c r="M351" s="166"/>
      <c r="N351" s="166">
        <f ca="1">IFERROR(__xludf.DUMMYFUNCTION("IMPORTRANGE(""https://docs.google.com/spreadsheets/d/1XL5vhW3sbDhbH9Cz0tuDiY8C3ctxq1tqvaCgkFb8cCA/edit?usp=sharing"",""อุบลราชธานี!M246"")"),0)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7"/>
      <c r="N352" s="166">
        <f ca="1">IFERROR(__xludf.DUMMYFUNCTION("IMPORTRANGE(""https://docs.google.com/spreadsheets/d/1XL5vhW3sbDhbH9Cz0tuDiY8C3ctxq1tqvaCgkFb8cCA/edit?usp=sharing"",""อุบลราชธานี!M247"")"),150666)</f>
        <v>150666</v>
      </c>
      <c r="O352" s="167">
        <f t="shared" ca="1" si="105"/>
        <v>27.384855865353156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IFERROR(__xludf.DUMMYFUNCTION("IMPORTRANGE(""https://docs.google.com/spreadsheets/d/1XL5vhW3sbDhbH9Cz0tuDiY8C3ctxq1tqvaCgkFb8cCA/edit?usp=sharing"",""อุบลราชธานี!L248"")"),0)</f>
        <v>0</v>
      </c>
      <c r="M353" s="170"/>
      <c r="N353" s="170">
        <f ca="1">IFERROR(__xludf.DUMMYFUNCTION("IMPORTRANGE(""https://docs.google.com/spreadsheets/d/1XL5vhW3sbDhbH9Cz0tuDiY8C3ctxq1tqvaCgkFb8cCA/edit?usp=sharing"",""อุบลราชธานี!M248"")"),0)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70"/>
      <c r="N354" s="169">
        <f ca="1">IFERROR(__xludf.DUMMYFUNCTION("IMPORTRANGE(""https://docs.google.com/spreadsheets/d/1XL5vhW3sbDhbH9Cz0tuDiY8C3ctxq1tqvaCgkFb8cCA/edit?usp=sharing"",""อุบลราชธานี!M249"")"),150666)</f>
        <v>150666</v>
      </c>
      <c r="O354" s="170">
        <f t="shared" ca="1" si="105"/>
        <v>27.384855865353156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IFERROR(__xludf.DUMMYFUNCTION("IMPORTRANGE(""https://docs.google.com/spreadsheets/d/1XL5vhW3sbDhbH9Cz0tuDiY8C3ctxq1tqvaCgkFb8cCA/edit?usp=sharing"",""อุบลราชธานี!M251"")"),0)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IFERROR(__xludf.DUMMYFUNCTION("IMPORTRANGE(""https://docs.google.com/spreadsheets/d/1XL5vhW3sbDhbH9Cz0tuDiY8C3ctxq1tqvaCgkFb8cCA/edit?usp=sharing"",""อุบลราชธานี!M252"")"),43266)</f>
        <v>43266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IFERROR(__xludf.DUMMYFUNCTION("IMPORTRANGE(""https://docs.google.com/spreadsheets/d/1XL5vhW3sbDhbH9Cz0tuDiY8C3ctxq1tqvaCgkFb8cCA/edit?usp=sharing"",""อุบลราชธานี!M253"")"),0)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IFERROR(__xludf.DUMMYFUNCTION("IMPORTRANGE(""https://docs.google.com/spreadsheets/d/1XL5vhW3sbDhbH9Cz0tuDiY8C3ctxq1tqvaCgkFb8cCA/edit?usp=sharing"",""อุบลราชธานี!J255"")"),0)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IFERROR(__xludf.DUMMYFUNCTION("IMPORTRANGE(""https://docs.google.com/spreadsheets/d/1XL5vhW3sbDhbH9Cz0tuDiY8C3ctxq1tqvaCgkFb8cCA/edit?usp=sharing"",""อุบลราชธานี!J256"")"),1)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IFERROR(__xludf.DUMMYFUNCTION("IMPORTRANGE(""https://docs.google.com/spreadsheets/d/1XL5vhW3sbDhbH9Cz0tuDiY8C3ctxq1tqvaCgkFb8cCA/edit?usp=sharing"",""อุบลราชธานี!J257"")"),1)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IFERROR(__xludf.DUMMYFUNCTION("IMPORTRANGE(""https://docs.google.com/spreadsheets/d/1XL5vhW3sbDhbH9Cz0tuDiY8C3ctxq1tqvaCgkFb8cCA/edit?usp=sharing"",""อุบลราชธานี!J258"")"),1)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IFERROR(__xludf.DUMMYFUNCTION("IMPORTRANGE(""https://docs.google.com/spreadsheets/d/1XL5vhW3sbDhbH9Cz0tuDiY8C3ctxq1tqvaCgkFb8cCA/edit?usp=sharing"",""อุบลราชธานี!J166"")"),0)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IFERROR(__xludf.DUMMYFUNCTION("IMPORTRANGE(""https://docs.google.com/spreadsheets/d/1XL5vhW3sbDhbH9Cz0tuDiY8C3ctxq1tqvaCgkFb8cCA/edit?usp=sharing"",""อุบลราชธานี!J166"")"),0)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IFERROR(__xludf.DUMMYFUNCTION("IMPORTRANGE(""https://docs.google.com/spreadsheets/d/1XL5vhW3sbDhbH9Cz0tuDiY8C3ctxq1tqvaCgkFb8cCA/edit?usp=sharing"",""อุบลราชธานี!J166"")"),0)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IFERROR(__xludf.DUMMYFUNCTION("IMPORTRANGE(""https://docs.google.com/spreadsheets/d/1XL5vhW3sbDhbH9Cz0tuDiY8C3ctxq1tqvaCgkFb8cCA/edit?usp=sharing"",""อุบลราชธานี!J166"")"),0)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IFERROR(__xludf.DUMMYFUNCTION("IMPORTRANGE(""https://docs.google.com/spreadsheets/d/1XL5vhW3sbDhbH9Cz0tuDiY8C3ctxq1tqvaCgkFb8cCA/edit?usp=sharing"",""อุบลราชธานี!I263"")"),90)</f>
        <v>90</v>
      </c>
      <c r="J368" s="189">
        <f ca="1">IFERROR(__xludf.DUMMYFUNCTION("IMPORTRANGE(""https://docs.google.com/spreadsheets/d/1XL5vhW3sbDhbH9Cz0tuDiY8C3ctxq1tqvaCgkFb8cCA/edit?usp=sharing"",""อุบลราชธานี!J263"")"),90)</f>
        <v>90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IFERROR(__xludf.DUMMYFUNCTION("IMPORTRANGE(""https://docs.google.com/spreadsheets/d/1XL5vhW3sbDhbH9Cz0tuDiY8C3ctxq1tqvaCgkFb8cCA/edit?usp=sharing"",""อุบลราชธานี!I164"")"),0)</f>
        <v>0</v>
      </c>
      <c r="J369" s="205">
        <f ca="1">IFERROR(__xludf.DUMMYFUNCTION("IMPORTRANGE(""https://docs.google.com/spreadsheets/d/1XL5vhW3sbDhbH9Cz0tuDiY8C3ctxq1tqvaCgkFb8cCA/edit?usp=sharing"",""อุบลราชธานี!J164"")"),0)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IFERROR(__xludf.DUMMYFUNCTION("IMPORTRANGE(""https://docs.google.com/spreadsheets/d/1XL5vhW3sbDhbH9Cz0tuDiY8C3ctxq1tqvaCgkFb8cCA/edit?usp=sharing"",""อุบลราชธานี!I265"")"),90)</f>
        <v>90</v>
      </c>
      <c r="J370" s="205">
        <f ca="1">IFERROR(__xludf.DUMMYFUNCTION("IMPORTRANGE(""https://docs.google.com/spreadsheets/d/1XL5vhW3sbDhbH9Cz0tuDiY8C3ctxq1tqvaCgkFb8cCA/edit?usp=sharing"",""อุบลราชธานี!J265"")"),90)</f>
        <v>90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IFERROR(__xludf.DUMMYFUNCTION("IMPORTRANGE(""https://docs.google.com/spreadsheets/d/1XL5vhW3sbDhbH9Cz0tuDiY8C3ctxq1tqvaCgkFb8cCA/edit?usp=sharing"",""อุบลราชธานี!I164"")"),0)</f>
        <v>0</v>
      </c>
      <c r="J371" s="190">
        <f ca="1">IFERROR(__xludf.DUMMYFUNCTION("IMPORTRANGE(""https://docs.google.com/spreadsheets/d/1XL5vhW3sbDhbH9Cz0tuDiY8C3ctxq1tqvaCgkFb8cCA/edit?usp=sharing"",""อุบลราชธานี!J164"")"),0)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IFERROR(__xludf.DUMMYFUNCTION("IMPORTRANGE(""https://docs.google.com/spreadsheets/d/1XL5vhW3sbDhbH9Cz0tuDiY8C3ctxq1tqvaCgkFb8cCA/edit?usp=sharing"",""อุบลราชธานี!I267"")"),90)</f>
        <v>90</v>
      </c>
      <c r="J372" s="190">
        <f ca="1">IFERROR(__xludf.DUMMYFUNCTION("IMPORTRANGE(""https://docs.google.com/spreadsheets/d/1XL5vhW3sbDhbH9Cz0tuDiY8C3ctxq1tqvaCgkFb8cCA/edit?usp=sharing"",""อุบลราชธานี!J267"")"),90)</f>
        <v>90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IFERROR(__xludf.DUMMYFUNCTION("IMPORTRANGE(""https://docs.google.com/spreadsheets/d/1XL5vhW3sbDhbH9Cz0tuDiY8C3ctxq1tqvaCgkFb8cCA/edit?usp=sharing"",""อุบลราชธานี!I164"")"),0)</f>
        <v>0</v>
      </c>
      <c r="J373" s="205">
        <f ca="1">IFERROR(__xludf.DUMMYFUNCTION("IMPORTRANGE(""https://docs.google.com/spreadsheets/d/1XL5vhW3sbDhbH9Cz0tuDiY8C3ctxq1tqvaCgkFb8cCA/edit?usp=sharing"",""อุบลราชธานี!J164"")"),0)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IFERROR(__xludf.DUMMYFUNCTION("IMPORTRANGE(""https://docs.google.com/spreadsheets/d/1XL5vhW3sbDhbH9Cz0tuDiY8C3ctxq1tqvaCgkFb8cCA/edit?usp=sharing"",""อุบลราชธานี!I164"")"),0)</f>
        <v>0</v>
      </c>
      <c r="J374" s="189">
        <f ca="1">IFERROR(__xludf.DUMMYFUNCTION("IMPORTRANGE(""https://docs.google.com/spreadsheets/d/1XL5vhW3sbDhbH9Cz0tuDiY8C3ctxq1tqvaCgkFb8cCA/edit?usp=sharing"",""อุบลราชธานี!J164"")"),0)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IFERROR(__xludf.DUMMYFUNCTION("IMPORTRANGE(""https://docs.google.com/spreadsheets/d/1XL5vhW3sbDhbH9Cz0tuDiY8C3ctxq1tqvaCgkFb8cCA/edit?usp=sharing"",""อุบลราชธานี!I270"")"),300)</f>
        <v>300</v>
      </c>
      <c r="J375" s="189">
        <f ca="1">IFERROR(__xludf.DUMMYFUNCTION("IMPORTRANGE(""https://docs.google.com/spreadsheets/d/1XL5vhW3sbDhbH9Cz0tuDiY8C3ctxq1tqvaCgkFb8cCA/edit?usp=sharing"",""อุบลราชธานี!J270"")"),0)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IFERROR(__xludf.DUMMYFUNCTION("IMPORTRANGE(""https://docs.google.com/spreadsheets/d/1XL5vhW3sbDhbH9Cz0tuDiY8C3ctxq1tqvaCgkFb8cCA/edit?usp=sharing"",""อุบลราชธานี!I271"")"),100)</f>
        <v>100</v>
      </c>
      <c r="J376" s="190">
        <f ca="1">IFERROR(__xludf.DUMMYFUNCTION("IMPORTRANGE(""https://docs.google.com/spreadsheets/d/1XL5vhW3sbDhbH9Cz0tuDiY8C3ctxq1tqvaCgkFb8cCA/edit?usp=sharing"",""อุบลราชธานี!J271"")"),0)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IFERROR(__xludf.DUMMYFUNCTION("IMPORTRANGE(""https://docs.google.com/spreadsheets/d/1XL5vhW3sbDhbH9Cz0tuDiY8C3ctxq1tqvaCgkFb8cCA/edit?usp=sharing"",""อุบลราชธานี!I272"")"),200)</f>
        <v>200</v>
      </c>
      <c r="J377" s="205">
        <f ca="1">IFERROR(__xludf.DUMMYFUNCTION("IMPORTRANGE(""https://docs.google.com/spreadsheets/d/1XL5vhW3sbDhbH9Cz0tuDiY8C3ctxq1tqvaCgkFb8cCA/edit?usp=sharing"",""อุบลราชธานี!J272"")"),0)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IFERROR(__xludf.DUMMYFUNCTION("IMPORTRANGE(""https://docs.google.com/spreadsheets/d/1XL5vhW3sbDhbH9Cz0tuDiY8C3ctxq1tqvaCgkFb8cCA/edit?usp=sharing"",""อุบลราชธานี!J273"")"),0)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IFERROR(__xludf.DUMMYFUNCTION("IMPORTRANGE(""https://docs.google.com/spreadsheets/d/1XL5vhW3sbDhbH9Cz0tuDiY8C3ctxq1tqvaCgkFb8cCA/edit?usp=sharing"",""อุบลราชธานี!M275"")"),171014)</f>
        <v>171014</v>
      </c>
      <c r="O380" s="373">
        <f ca="1">+IF(L380&gt;0,N380*100/L380,0)</f>
        <v>16.627192470734649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IFERROR(__xludf.DUMMYFUNCTION("IMPORTRANGE(""https://docs.google.com/spreadsheets/d/1XL5vhW3sbDhbH9Cz0tuDiY8C3ctxq1tqvaCgkFb8cCA/edit?usp=sharing"",""อุบลราชธานี!L277"")"),0)</f>
        <v>0</v>
      </c>
      <c r="M382" s="166"/>
      <c r="N382" s="166">
        <f ca="1">IFERROR(__xludf.DUMMYFUNCTION("IMPORTRANGE(""https://docs.google.com/spreadsheets/d/1XL5vhW3sbDhbH9Cz0tuDiY8C3ctxq1tqvaCgkFb8cCA/edit?usp=sharing"",""อุบลราชธานี!M277"")"),0)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IFERROR(__xludf.DUMMYFUNCTION("IMPORTRANGE(""https://docs.google.com/spreadsheets/d/1XL5vhW3sbDhbH9Cz0tuDiY8C3ctxq1tqvaCgkFb8cCA/edit?usp=sharing"",""อุบลราชธานี!M278"")"),171014)</f>
        <v>171014</v>
      </c>
      <c r="O383" s="167">
        <f t="shared" ca="1" si="109"/>
        <v>16.627192470734649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IFERROR(__xludf.DUMMYFUNCTION("IMPORTRANGE(""https://docs.google.com/spreadsheets/d/1XL5vhW3sbDhbH9Cz0tuDiY8C3ctxq1tqvaCgkFb8cCA/edit?usp=sharing"",""อุบลราชธานี!L279"")"),0)</f>
        <v>0</v>
      </c>
      <c r="M384" s="170"/>
      <c r="N384" s="170">
        <f ca="1">IFERROR(__xludf.DUMMYFUNCTION("IMPORTRANGE(""https://docs.google.com/spreadsheets/d/1XL5vhW3sbDhbH9Cz0tuDiY8C3ctxq1tqvaCgkFb8cCA/edit?usp=sharing"",""อุบลราชธานี!M279"")"),0)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IFERROR(__xludf.DUMMYFUNCTION("IMPORTRANGE(""https://docs.google.com/spreadsheets/d/1XL5vhW3sbDhbH9Cz0tuDiY8C3ctxq1tqvaCgkFb8cCA/edit?usp=sharing"",""อุบลราชธานี!M280"")"),171014)</f>
        <v>171014</v>
      </c>
      <c r="O385" s="170">
        <f t="shared" ca="1" si="109"/>
        <v>16.627192470734649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IFERROR(__xludf.DUMMYFUNCTION("IMPORTRANGE(""https://docs.google.com/spreadsheets/d/1XL5vhW3sbDhbH9Cz0tuDiY8C3ctxq1tqvaCgkFb8cCA/edit?usp=sharing"",""อุบลราชธานี!M281"")"),123764)</f>
        <v>123764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IFERROR(__xludf.DUMMYFUNCTION("IMPORTRANGE(""https://docs.google.com/spreadsheets/d/1XL5vhW3sbDhbH9Cz0tuDiY8C3ctxq1tqvaCgkFb8cCA/edit?usp=sharing"",""อุบลราชธานี!M282"")"),0)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IFERROR(__xludf.DUMMYFUNCTION("IMPORTRANGE(""https://docs.google.com/spreadsheets/d/1XL5vhW3sbDhbH9Cz0tuDiY8C3ctxq1tqvaCgkFb8cCA/edit?usp=sharing"",""อุบลราชธานี!M283"")"),44000)</f>
        <v>44000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IFERROR(__xludf.DUMMYFUNCTION("IMPORTRANGE(""https://docs.google.com/spreadsheets/d/1XL5vhW3sbDhbH9Cz0tuDiY8C3ctxq1tqvaCgkFb8cCA/edit?usp=sharing"",""อุบลราชธานี!M284"")"),3250)</f>
        <v>3250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IFERROR(__xludf.DUMMYFUNCTION("IMPORTRANGE(""https://docs.google.com/spreadsheets/d/1XL5vhW3sbDhbH9Cz0tuDiY8C3ctxq1tqvaCgkFb8cCA/edit?usp=sharing"",""อุบลราชธานี!J286"")"),0)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IFERROR(__xludf.DUMMYFUNCTION("IMPORTRANGE(""https://docs.google.com/spreadsheets/d/1XL5vhW3sbDhbH9Cz0tuDiY8C3ctxq1tqvaCgkFb8cCA/edit?usp=sharing"",""อุบลราชธานี!J287"")"),1)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IFERROR(__xludf.DUMMYFUNCTION("IMPORTRANGE(""https://docs.google.com/spreadsheets/d/1XL5vhW3sbDhbH9Cz0tuDiY8C3ctxq1tqvaCgkFb8cCA/edit?usp=sharing"",""อุบลราชธานี!J288"")"),1)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IFERROR(__xludf.DUMMYFUNCTION("IMPORTRANGE(""https://docs.google.com/spreadsheets/d/1XL5vhW3sbDhbH9Cz0tuDiY8C3ctxq1tqvaCgkFb8cCA/edit?usp=sharing"",""อุบลราชธานี!J289"")"),1)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IFERROR(__xludf.DUMMYFUNCTION("IMPORTRANGE(""https://docs.google.com/spreadsheets/d/1XL5vhW3sbDhbH9Cz0tuDiY8C3ctxq1tqvaCgkFb8cCA/edit?usp=sharing"",""อุบลราชธานี!I291"")"),100)</f>
        <v>100</v>
      </c>
      <c r="J396" s="199">
        <f ca="1">IFERROR(__xludf.DUMMYFUNCTION("IMPORTRANGE(""https://docs.google.com/spreadsheets/d/1XL5vhW3sbDhbH9Cz0tuDiY8C3ctxq1tqvaCgkFb8cCA/edit?usp=sharing"",""อุบลราชธานี!J291"")"),100)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IFERROR(__xludf.DUMMYFUNCTION("IMPORTRANGE(""https://docs.google.com/spreadsheets/d/1XL5vhW3sbDhbH9Cz0tuDiY8C3ctxq1tqvaCgkFb8cCA/edit?usp=sharing"",""อุบลราชธานี!I292"")"),1000)</f>
        <v>1000</v>
      </c>
      <c r="J397" s="199">
        <f ca="1">IFERROR(__xludf.DUMMYFUNCTION("IMPORTRANGE(""https://docs.google.com/spreadsheets/d/1XL5vhW3sbDhbH9Cz0tuDiY8C3ctxq1tqvaCgkFb8cCA/edit?usp=sharing"",""อุบลราชธานี!J292"")"),0)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IFERROR(__xludf.DUMMYFUNCTION("IMPORTRANGE(""https://docs.google.com/spreadsheets/d/1XL5vhW3sbDhbH9Cz0tuDiY8C3ctxq1tqvaCgkFb8cCA/edit?usp=sharing"",""อุบลราชธานี!I293"")"),100)</f>
        <v>100</v>
      </c>
      <c r="J398" s="199">
        <f ca="1">IFERROR(__xludf.DUMMYFUNCTION("IMPORTRANGE(""https://docs.google.com/spreadsheets/d/1XL5vhW3sbDhbH9Cz0tuDiY8C3ctxq1tqvaCgkFb8cCA/edit?usp=sharing"",""อุบลราชธานี!J293"")"),0)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IFERROR(__xludf.DUMMYFUNCTION("IMPORTRANGE(""https://docs.google.com/spreadsheets/d/1XL5vhW3sbDhbH9Cz0tuDiY8C3ctxq1tqvaCgkFb8cCA/edit?usp=sharing"",""อุบลราชธานี!J294"")"),0)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IFERROR(__xludf.DUMMYFUNCTION("IMPORTRANGE(""https://docs.google.com/spreadsheets/d/1XL5vhW3sbDhbH9Cz0tuDiY8C3ctxq1tqvaCgkFb8cCA/edit?usp=sharing"",""อุบลราชธานี!J295"")"),0)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IFERROR(__xludf.DUMMYFUNCTION("IMPORTRANGE(""https://docs.google.com/spreadsheets/d/1XL5vhW3sbDhbH9Cz0tuDiY8C3ctxq1tqvaCgkFb8cCA/edit?usp=sharing"",""อุบลราชธานี!M296"")"),107170)</f>
        <v>107170</v>
      </c>
      <c r="O401" s="373">
        <f ca="1">+IF(L401&gt;0,N401*100/L401,0)</f>
        <v>45.940500685871058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IFERROR(__xludf.DUMMYFUNCTION("IMPORTRANGE(""https://docs.google.com/spreadsheets/d/1XL5vhW3sbDhbH9Cz0tuDiY8C3ctxq1tqvaCgkFb8cCA/edit?usp=sharing"",""อุบลราชธานี!L298"")"),0)</f>
        <v>0</v>
      </c>
      <c r="M403" s="166"/>
      <c r="N403" s="170">
        <f ca="1">IFERROR(__xludf.DUMMYFUNCTION("IMPORTRANGE(""https://docs.google.com/spreadsheets/d/1XL5vhW3sbDhbH9Cz0tuDiY8C3ctxq1tqvaCgkFb8cCA/edit?usp=sharing"",""อุบลราชธานี!M298"")"),0)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7"/>
      <c r="N404" s="170">
        <f ca="1">IFERROR(__xludf.DUMMYFUNCTION("IMPORTRANGE(""https://docs.google.com/spreadsheets/d/1XL5vhW3sbDhbH9Cz0tuDiY8C3ctxq1tqvaCgkFb8cCA/edit?usp=sharing"",""อุบลราชธานี!M299"")"),107170)</f>
        <v>107170</v>
      </c>
      <c r="O404" s="170">
        <f t="shared" ca="1" si="112"/>
        <v>45.940500685871058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IFERROR(__xludf.DUMMYFUNCTION("IMPORTRANGE(""https://docs.google.com/spreadsheets/d/1XL5vhW3sbDhbH9Cz0tuDiY8C3ctxq1tqvaCgkFb8cCA/edit?usp=sharing"",""อุบลราชธานี!L300"")"),0)</f>
        <v>0</v>
      </c>
      <c r="M405" s="170"/>
      <c r="N405" s="170">
        <f ca="1">IFERROR(__xludf.DUMMYFUNCTION("IMPORTRANGE(""https://docs.google.com/spreadsheets/d/1XL5vhW3sbDhbH9Cz0tuDiY8C3ctxq1tqvaCgkFb8cCA/edit?usp=sharing"",""อุบลราชธานี!M300"")"),0)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70"/>
      <c r="N406" s="170">
        <f ca="1">IFERROR(__xludf.DUMMYFUNCTION("IMPORTRANGE(""https://docs.google.com/spreadsheets/d/1XL5vhW3sbDhbH9Cz0tuDiY8C3ctxq1tqvaCgkFb8cCA/edit?usp=sharing"",""อุบลราชธานี!M301"")"),107170)</f>
        <v>107170</v>
      </c>
      <c r="O406" s="170">
        <f t="shared" ca="1" si="112"/>
        <v>45.940500685871058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IFERROR(__xludf.DUMMYFUNCTION("IMPORTRANGE(""https://docs.google.com/spreadsheets/d/1XL5vhW3sbDhbH9Cz0tuDiY8C3ctxq1tqvaCgkFb8cCA/edit?usp=sharing"",""อุบลราชธานี!M302"")"),105310)</f>
        <v>105310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IFERROR(__xludf.DUMMYFUNCTION("IMPORTRANGE(""https://docs.google.com/spreadsheets/d/1XL5vhW3sbDhbH9Cz0tuDiY8C3ctxq1tqvaCgkFb8cCA/edit?usp=sharing"",""อุบลราชธานี!M303"")"),0)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IFERROR(__xludf.DUMMYFUNCTION("IMPORTRANGE(""https://docs.google.com/spreadsheets/d/1XL5vhW3sbDhbH9Cz0tuDiY8C3ctxq1tqvaCgkFb8cCA/edit?usp=sharing"",""อุบลราชธานี!M304"")"),1860)</f>
        <v>1860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IFERROR(__xludf.DUMMYFUNCTION("IMPORTRANGE(""https://docs.google.com/spreadsheets/d/1XL5vhW3sbDhbH9Cz0tuDiY8C3ctxq1tqvaCgkFb8cCA/edit?usp=sharing"",""อุบลราชธานี!M305"")"),0)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IFERROR(__xludf.DUMMYFUNCTION("IMPORTRANGE(""https://docs.google.com/spreadsheets/d/1XL5vhW3sbDhbH9Cz0tuDiY8C3ctxq1tqvaCgkFb8cCA/edit?usp=sharing"",""อุบลราชธานี!J307"")"),0)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IFERROR(__xludf.DUMMYFUNCTION("IMPORTRANGE(""https://docs.google.com/spreadsheets/d/1XL5vhW3sbDhbH9Cz0tuDiY8C3ctxq1tqvaCgkFb8cCA/edit?usp=sharing"",""อุบลราชธานี!J308"")"),1)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IFERROR(__xludf.DUMMYFUNCTION("IMPORTRANGE(""https://docs.google.com/spreadsheets/d/1XL5vhW3sbDhbH9Cz0tuDiY8C3ctxq1tqvaCgkFb8cCA/edit?usp=sharing"",""อุบลราชธานี!J309"")"),1)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IFERROR(__xludf.DUMMYFUNCTION("IMPORTRANGE(""https://docs.google.com/spreadsheets/d/1XL5vhW3sbDhbH9Cz0tuDiY8C3ctxq1tqvaCgkFb8cCA/edit?usp=sharing"",""อุบลราชธานี!J310"")"),1)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IFERROR(__xludf.DUMMYFUNCTION("IMPORTRANGE(""https://docs.google.com/spreadsheets/d/1XL5vhW3sbDhbH9Cz0tuDiY8C3ctxq1tqvaCgkFb8cCA/edit?usp=sharing"",""อุบลราชธานี!I311"")"),71)</f>
        <v>71</v>
      </c>
      <c r="J416" s="202">
        <f ca="1">IFERROR(__xludf.DUMMYFUNCTION("IMPORTRANGE(""https://docs.google.com/spreadsheets/d/1XL5vhW3sbDhbH9Cz0tuDiY8C3ctxq1tqvaCgkFb8cCA/edit?usp=sharing"",""อุบลราชธานี!J311"")"),71)</f>
        <v>71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IFERROR(__xludf.DUMMYFUNCTION("IMPORTRANGE(""https://docs.google.com/spreadsheets/d/1XL5vhW3sbDhbH9Cz0tuDiY8C3ctxq1tqvaCgkFb8cCA/edit?usp=sharing"",""อุบลราชธานี!J328"")"),0)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IFERROR(__xludf.DUMMYFUNCTION("IMPORTRANGE(""https://docs.google.com/spreadsheets/d/1XL5vhW3sbDhbH9Cz0tuDiY8C3ctxq1tqvaCgkFb8cCA/edit?usp=sharing"",""อุบลราชธานี!M330"")"),79559)</f>
        <v>79559</v>
      </c>
      <c r="O435" s="412">
        <f t="shared" ref="O435:O439" ca="1" si="114">+IF(L435&gt;0,N435*100/L435,0)</f>
        <v>55.249305555555559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IFERROR(__xludf.DUMMYFUNCTION("IMPORTRANGE(""https://docs.google.com/spreadsheets/d/1XL5vhW3sbDhbH9Cz0tuDiY8C3ctxq1tqvaCgkFb8cCA/edit?usp=sharing"",""อุบลราชธานี!L331"")"),0)</f>
        <v>0</v>
      </c>
      <c r="M436" s="166"/>
      <c r="N436" s="170">
        <f ca="1">IFERROR(__xludf.DUMMYFUNCTION("IMPORTRANGE(""https://docs.google.com/spreadsheets/d/1XL5vhW3sbDhbH9Cz0tuDiY8C3ctxq1tqvaCgkFb8cCA/edit?usp=sharing"",""อุบลราชธานี!M331"")"),0)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7"/>
      <c r="N437" s="170">
        <f ca="1">IFERROR(__xludf.DUMMYFUNCTION("IMPORTRANGE(""https://docs.google.com/spreadsheets/d/1XL5vhW3sbDhbH9Cz0tuDiY8C3ctxq1tqvaCgkFb8cCA/edit?usp=sharing"",""อุบลราชธานี!M332"")"),79559)</f>
        <v>79559</v>
      </c>
      <c r="O437" s="170">
        <f t="shared" ca="1" si="114"/>
        <v>55.249305555555559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IFERROR(__xludf.DUMMYFUNCTION("IMPORTRANGE(""https://docs.google.com/spreadsheets/d/1XL5vhW3sbDhbH9Cz0tuDiY8C3ctxq1tqvaCgkFb8cCA/edit?usp=sharing"",""อุบลราชธานี!L333"")"),0)</f>
        <v>0</v>
      </c>
      <c r="M438" s="170"/>
      <c r="N438" s="170">
        <f ca="1">IFERROR(__xludf.DUMMYFUNCTION("IMPORTRANGE(""https://docs.google.com/spreadsheets/d/1XL5vhW3sbDhbH9Cz0tuDiY8C3ctxq1tqvaCgkFb8cCA/edit?usp=sharing"",""อุบลราชธานี!M333"")"),0)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70"/>
      <c r="N439" s="170">
        <f ca="1">IFERROR(__xludf.DUMMYFUNCTION("IMPORTRANGE(""https://docs.google.com/spreadsheets/d/1XL5vhW3sbDhbH9Cz0tuDiY8C3ctxq1tqvaCgkFb8cCA/edit?usp=sharing"",""อุบลราชธานี!M334"")"),79559)</f>
        <v>79559</v>
      </c>
      <c r="O439" s="170">
        <f t="shared" ca="1" si="114"/>
        <v>55.249305555555559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IFERROR(__xludf.DUMMYFUNCTION("IMPORTRANGE(""https://docs.google.com/spreadsheets/d/1XL5vhW3sbDhbH9Cz0tuDiY8C3ctxq1tqvaCgkFb8cCA/edit?usp=sharing"",""อุบลราชธานี!M335"")"),71869)</f>
        <v>71869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IFERROR(__xludf.DUMMYFUNCTION("IMPORTRANGE(""https://docs.google.com/spreadsheets/d/1XL5vhW3sbDhbH9Cz0tuDiY8C3ctxq1tqvaCgkFb8cCA/edit?usp=sharing"",""อุบลราชธานี!M338"")"),7690)</f>
        <v>7690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IFERROR(__xludf.DUMMYFUNCTION("IMPORTRANGE(""https://docs.google.com/spreadsheets/d/1XL5vhW3sbDhbH9Cz0tuDiY8C3ctxq1tqvaCgkFb8cCA/edit?usp=sharing"",""อุบลราชธานี!J342"")"),1)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IFERROR(__xludf.DUMMYFUNCTION("IMPORTRANGE(""https://docs.google.com/spreadsheets/d/1XL5vhW3sbDhbH9Cz0tuDiY8C3ctxq1tqvaCgkFb8cCA/edit?usp=sharing"",""อุบลราชธานี!J343"")"),1)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2">
        <f ca="1">IFERROR(__xludf.DUMMYFUNCTION("IMPORTRANGE(""https://docs.google.com/spreadsheets/d/1XL5vhW3sbDhbH9Cz0tuDiY8C3ctxq1tqvaCgkFb8cCA/edit?usp=sharing"",""อุบลราชธานี!J344"")"),40)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IFERROR(__xludf.DUMMYFUNCTION("IMPORTRANGE(""https://docs.google.com/spreadsheets/d/1XL5vhW3sbDhbH9Cz0tuDiY8C3ctxq1tqvaCgkFb8cCA/edit?usp=sharing"",""อุบลราชธานี!I345"")"),40)</f>
        <v>40</v>
      </c>
      <c r="J450" s="190">
        <f ca="1">IFERROR(__xludf.DUMMYFUNCTION("IMPORTRANGE(""https://docs.google.com/spreadsheets/d/1XL5vhW3sbDhbH9Cz0tuDiY8C3ctxq1tqvaCgkFb8cCA/edit?usp=sharing"",""อุบลราชธานี!J345"")"),40)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IFERROR(__xludf.DUMMYFUNCTION("IMPORTRANGE(""https://docs.google.com/spreadsheets/d/1XL5vhW3sbDhbH9Cz0tuDiY8C3ctxq1tqvaCgkFb8cCA/edit?usp=sharing"",""อุบลราชธานี!I346"")"),0)</f>
        <v>0</v>
      </c>
      <c r="J451" s="189">
        <f ca="1">IFERROR(__xludf.DUMMYFUNCTION("IMPORTRANGE(""https://docs.google.com/spreadsheets/d/1XL5vhW3sbDhbH9Cz0tuDiY8C3ctxq1tqvaCgkFb8cCA/edit?usp=sharing"",""อุบลราชธานี!J346"")"),0)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IFERROR(__xludf.DUMMYFUNCTION("IMPORTRANGE(""https://docs.google.com/spreadsheets/d/1XL5vhW3sbDhbH9Cz0tuDiY8C3ctxq1tqvaCgkFb8cCA/edit?usp=sharing"",""อุบลราชธานี!I347"")"),0)</f>
        <v>0</v>
      </c>
      <c r="J452" s="189">
        <f ca="1">IFERROR(__xludf.DUMMYFUNCTION("IMPORTRANGE(""https://docs.google.com/spreadsheets/d/1XL5vhW3sbDhbH9Cz0tuDiY8C3ctxq1tqvaCgkFb8cCA/edit?usp=sharing"",""อุบลราชธานี!J347"")"),0)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IFERROR(__xludf.DUMMYFUNCTION("IMPORTRANGE(""https://docs.google.com/spreadsheets/d/1XL5vhW3sbDhbH9Cz0tuDiY8C3ctxq1tqvaCgkFb8cCA/edit?usp=sharing"",""อุบลราชธานี!J348"")"),1)</f>
        <v>1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IFERROR(__xludf.DUMMYFUNCTION("IMPORTRANGE(""https://docs.google.com/spreadsheets/d/1XL5vhW3sbDhbH9Cz0tuDiY8C3ctxq1tqvaCgkFb8cCA/edit?usp=sharing"",""อุบลราชธานี!L350"")"),519375)</f>
        <v>519375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IFERROR(__xludf.DUMMYFUNCTION("IMPORTRANGE(""https://docs.google.com/spreadsheets/d/1XL5vhW3sbDhbH9Cz0tuDiY8C3ctxq1tqvaCgkFb8cCA/edit?usp=sharing"",""อุบลราชธานี!M350"")"),50147)</f>
        <v>50147</v>
      </c>
      <c r="O455" s="373">
        <f t="shared" ref="O455:O459" ca="1" si="116">+IF(L455&gt;0,N455*100/L455,0)</f>
        <v>9.6552587244283998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IFERROR(__xludf.DUMMYFUNCTION("IMPORTRANGE(""https://docs.google.com/spreadsheets/d/1XL5vhW3sbDhbH9Cz0tuDiY8C3ctxq1tqvaCgkFb8cCA/edit?usp=sharing"",""อุบลราชธานี!L351"")"),0)</f>
        <v>0</v>
      </c>
      <c r="M456" s="166"/>
      <c r="N456" s="170">
        <f ca="1">IFERROR(__xludf.DUMMYFUNCTION("IMPORTRANGE(""https://docs.google.com/spreadsheets/d/1XL5vhW3sbDhbH9Cz0tuDiY8C3ctxq1tqvaCgkFb8cCA/edit?usp=sharing"",""อุบลราชธานี!M351"")"),0)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IFERROR(__xludf.DUMMYFUNCTION("IMPORTRANGE(""https://docs.google.com/spreadsheets/d/1XL5vhW3sbDhbH9Cz0tuDiY8C3ctxq1tqvaCgkFb8cCA/edit?usp=sharing"",""อุบลราชธานี!L352"")"),519375)</f>
        <v>519375</v>
      </c>
      <c r="M457" s="167"/>
      <c r="N457" s="170">
        <f ca="1">IFERROR(__xludf.DUMMYFUNCTION("IMPORTRANGE(""https://docs.google.com/spreadsheets/d/1XL5vhW3sbDhbH9Cz0tuDiY8C3ctxq1tqvaCgkFb8cCA/edit?usp=sharing"",""อุบลราชธานี!M352"")"),50147)</f>
        <v>50147</v>
      </c>
      <c r="O457" s="170">
        <f t="shared" ca="1" si="116"/>
        <v>9.6552587244283998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IFERROR(__xludf.DUMMYFUNCTION("IMPORTRANGE(""https://docs.google.com/spreadsheets/d/1XL5vhW3sbDhbH9Cz0tuDiY8C3ctxq1tqvaCgkFb8cCA/edit?usp=sharing"",""อุบลราชธานี!L353"")"),0)</f>
        <v>0</v>
      </c>
      <c r="M458" s="170"/>
      <c r="N458" s="170">
        <f ca="1">IFERROR(__xludf.DUMMYFUNCTION("IMPORTRANGE(""https://docs.google.com/spreadsheets/d/1XL5vhW3sbDhbH9Cz0tuDiY8C3ctxq1tqvaCgkFb8cCA/edit?usp=sharing"",""อุบลราชธานี!M353"")"),0)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IFERROR(__xludf.DUMMYFUNCTION("IMPORTRANGE(""https://docs.google.com/spreadsheets/d/1XL5vhW3sbDhbH9Cz0tuDiY8C3ctxq1tqvaCgkFb8cCA/edit?usp=sharing"",""อุบลราชธานี!L354"")"),519375)</f>
        <v>519375</v>
      </c>
      <c r="M459" s="170"/>
      <c r="N459" s="170">
        <f ca="1">IFERROR(__xludf.DUMMYFUNCTION("IMPORTRANGE(""https://docs.google.com/spreadsheets/d/1XL5vhW3sbDhbH9Cz0tuDiY8C3ctxq1tqvaCgkFb8cCA/edit?usp=sharing"",""อุบลราชธานี!M354"")"),50147)</f>
        <v>50147</v>
      </c>
      <c r="O459" s="170">
        <f t="shared" ca="1" si="116"/>
        <v>9.6552587244283998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IFERROR(__xludf.DUMMYFUNCTION("IMPORTRANGE(""https://docs.google.com/spreadsheets/d/1XL5vhW3sbDhbH9Cz0tuDiY8C3ctxq1tqvaCgkFb8cCA/edit?usp=sharing"",""อุบลราชธานี!M355"")"),0)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IFERROR(__xludf.DUMMYFUNCTION("IMPORTRANGE(""https://docs.google.com/spreadsheets/d/1XL5vhW3sbDhbH9Cz0tuDiY8C3ctxq1tqvaCgkFb8cCA/edit?usp=sharing"",""อุบลราชธานี!M356"")"),0)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IFERROR(__xludf.DUMMYFUNCTION("IMPORTRANGE(""https://docs.google.com/spreadsheets/d/1XL5vhW3sbDhbH9Cz0tuDiY8C3ctxq1tqvaCgkFb8cCA/edit?usp=sharing"",""อุบลราชธานี!M357"")"),46967)</f>
        <v>46967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IFERROR(__xludf.DUMMYFUNCTION("IMPORTRANGE(""https://docs.google.com/spreadsheets/d/1XL5vhW3sbDhbH9Cz0tuDiY8C3ctxq1tqvaCgkFb8cCA/edit?usp=sharing"",""อุบลราชธานี!M358"")"),3180)</f>
        <v>3180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IFERROR(__xludf.DUMMYFUNCTION("IMPORTRANGE(""https://docs.google.com/spreadsheets/d/1XL5vhW3sbDhbH9Cz0tuDiY8C3ctxq1tqvaCgkFb8cCA/edit?usp=sharing"",""อุบลราชธานี!J360"")"),42047)</f>
        <v>42047</v>
      </c>
      <c r="K465" s="203">
        <f t="shared" ca="1" si="117"/>
        <v>94.32442739529354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IFERROR(__xludf.DUMMYFUNCTION("IMPORTRANGE(""https://docs.google.com/spreadsheets/d/1XL5vhW3sbDhbH9Cz0tuDiY8C3ctxq1tqvaCgkFb8cCA/edit?usp=sharing"",""อุบลราชธานี!I362"")"),0)</f>
        <v>0</v>
      </c>
      <c r="J467" s="190">
        <f ca="1">IFERROR(__xludf.DUMMYFUNCTION("IMPORTRANGE(""https://docs.google.com/spreadsheets/d/1XL5vhW3sbDhbH9Cz0tuDiY8C3ctxq1tqvaCgkFb8cCA/edit?usp=sharing"",""อุบลราชธานี!J362"")"),40100)</f>
        <v>40100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IFERROR(__xludf.DUMMYFUNCTION("IMPORTRANGE(""https://docs.google.com/spreadsheets/d/1XL5vhW3sbDhbH9Cz0tuDiY8C3ctxq1tqvaCgkFb8cCA/edit?usp=sharing"",""อุบลราชธานี!I363"")"),0)</f>
        <v>0</v>
      </c>
      <c r="J468" s="190">
        <f ca="1">IFERROR(__xludf.DUMMYFUNCTION("IMPORTRANGE(""https://docs.google.com/spreadsheets/d/1XL5vhW3sbDhbH9Cz0tuDiY8C3ctxq1tqvaCgkFb8cCA/edit?usp=sharing"",""อุบลราชธานี!J363"")"),5684)</f>
        <v>5684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IFERROR(__xludf.DUMMYFUNCTION("IMPORTRANGE(""https://docs.google.com/spreadsheets/d/1XL5vhW3sbDhbH9Cz0tuDiY8C3ctxq1tqvaCgkFb8cCA/edit?usp=sharing"",""อุบลราชธานี!I364"")"),0)</f>
        <v>0</v>
      </c>
      <c r="J469" s="190">
        <f ca="1">IFERROR(__xludf.DUMMYFUNCTION("IMPORTRANGE(""https://docs.google.com/spreadsheets/d/1XL5vhW3sbDhbH9Cz0tuDiY8C3ctxq1tqvaCgkFb8cCA/edit?usp=sharing"",""อุบลราชธานี!J364"")"),1947)</f>
        <v>1947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IFERROR(__xludf.DUMMYFUNCTION("IMPORTRANGE(""https://docs.google.com/spreadsheets/d/1XL5vhW3sbDhbH9Cz0tuDiY8C3ctxq1tqvaCgkFb8cCA/edit?usp=sharing"",""อุบลราชธานี!I365"")"),0)</f>
        <v>0</v>
      </c>
      <c r="J470" s="190">
        <f ca="1">IFERROR(__xludf.DUMMYFUNCTION("IMPORTRANGE(""https://docs.google.com/spreadsheets/d/1XL5vhW3sbDhbH9Cz0tuDiY8C3ctxq1tqvaCgkFb8cCA/edit?usp=sharing"",""อุบลราชธานี!J365"")"),132)</f>
        <v>132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IFERROR(__xludf.DUMMYFUNCTION("IMPORTRANGE(""https://docs.google.com/spreadsheets/d/1XL5vhW3sbDhbH9Cz0tuDiY8C3ctxq1tqvaCgkFb8cCA/edit?usp=sharing"",""อุบลราชธานี!I366"")"),0)</f>
        <v>0</v>
      </c>
      <c r="J471" s="190">
        <f ca="1">IFERROR(__xludf.DUMMYFUNCTION("IMPORTRANGE(""https://docs.google.com/spreadsheets/d/1XL5vhW3sbDhbH9Cz0tuDiY8C3ctxq1tqvaCgkFb8cCA/edit?usp=sharing"",""อุบลราชธานี!J366"")"),0)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IFERROR(__xludf.DUMMYFUNCTION("IMPORTRANGE(""https://docs.google.com/spreadsheets/d/1XL5vhW3sbDhbH9Cz0tuDiY8C3ctxq1tqvaCgkFb8cCA/edit?usp=sharing"",""อุบลราชธานี!I367"")"),0)</f>
        <v>0</v>
      </c>
      <c r="J472" s="190">
        <f ca="1">IFERROR(__xludf.DUMMYFUNCTION("IMPORTRANGE(""https://docs.google.com/spreadsheets/d/1XL5vhW3sbDhbH9Cz0tuDiY8C3ctxq1tqvaCgkFb8cCA/edit?usp=sharing"",""อุบลราชธานี!J367"")"),0)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IFERROR(__xludf.DUMMYFUNCTION("IMPORTRANGE(""https://docs.google.com/spreadsheets/d/1XL5vhW3sbDhbH9Cz0tuDiY8C3ctxq1tqvaCgkFb8cCA/edit?usp=sharing"",""อุบลราชธานี!I370"")"),0)</f>
        <v>0</v>
      </c>
      <c r="J475" s="190">
        <f ca="1">IFERROR(__xludf.DUMMYFUNCTION("IMPORTRANGE(""https://docs.google.com/spreadsheets/d/1XL5vhW3sbDhbH9Cz0tuDiY8C3ctxq1tqvaCgkFb8cCA/edit?usp=sharing"",""อุบลราชธานี!J370"")"),0)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IFERROR(__xludf.DUMMYFUNCTION("IMPORTRANGE(""https://docs.google.com/spreadsheets/d/1XL5vhW3sbDhbH9Cz0tuDiY8C3ctxq1tqvaCgkFb8cCA/edit?usp=sharing"",""อุบลราชธานี!I371"")"),0)</f>
        <v>0</v>
      </c>
      <c r="J476" s="190">
        <f ca="1">IFERROR(__xludf.DUMMYFUNCTION("IMPORTRANGE(""https://docs.google.com/spreadsheets/d/1XL5vhW3sbDhbH9Cz0tuDiY8C3ctxq1tqvaCgkFb8cCA/edit?usp=sharing"",""อุบลราชธานี!J371"")"),0)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IFERROR(__xludf.DUMMYFUNCTION("IMPORTRANGE(""https://docs.google.com/spreadsheets/d/1XL5vhW3sbDhbH9Cz0tuDiY8C3ctxq1tqvaCgkFb8cCA/edit?usp=sharing"",""อุบลราชธานี!I372"")"),0)</f>
        <v>0</v>
      </c>
      <c r="J477" s="190">
        <f ca="1">IFERROR(__xludf.DUMMYFUNCTION("IMPORTRANGE(""https://docs.google.com/spreadsheets/d/1XL5vhW3sbDhbH9Cz0tuDiY8C3ctxq1tqvaCgkFb8cCA/edit?usp=sharing"",""อุบลราชธานี!J372"")"),0)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IFERROR(__xludf.DUMMYFUNCTION("IMPORTRANGE(""https://docs.google.com/spreadsheets/d/1XL5vhW3sbDhbH9Cz0tuDiY8C3ctxq1tqvaCgkFb8cCA/edit?usp=sharing"",""อุบลราชธานี!I373"")"),0)</f>
        <v>0</v>
      </c>
      <c r="J478" s="190">
        <f ca="1">IFERROR(__xludf.DUMMYFUNCTION("IMPORTRANGE(""https://docs.google.com/spreadsheets/d/1XL5vhW3sbDhbH9Cz0tuDiY8C3ctxq1tqvaCgkFb8cCA/edit?usp=sharing"",""อุบลราชธานี!J373"")"),0)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IFERROR(__xludf.DUMMYFUNCTION("IMPORTRANGE(""https://docs.google.com/spreadsheets/d/1XL5vhW3sbDhbH9Cz0tuDiY8C3ctxq1tqvaCgkFb8cCA/edit?usp=sharing"",""อุบลราชธานี!I374"")"),0)</f>
        <v>0</v>
      </c>
      <c r="J479" s="190">
        <f ca="1">IFERROR(__xludf.DUMMYFUNCTION("IMPORTRANGE(""https://docs.google.com/spreadsheets/d/1XL5vhW3sbDhbH9Cz0tuDiY8C3ctxq1tqvaCgkFb8cCA/edit?usp=sharing"",""อุบลราชธานี!J374"")"),0)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IFERROR(__xludf.DUMMYFUNCTION("IMPORTRANGE(""https://docs.google.com/spreadsheets/d/1XL5vhW3sbDhbH9Cz0tuDiY8C3ctxq1tqvaCgkFb8cCA/edit?usp=sharing"",""อุบลราชธานี!I375"")"),0)</f>
        <v>0</v>
      </c>
      <c r="J480" s="190">
        <f ca="1">IFERROR(__xludf.DUMMYFUNCTION("IMPORTRANGE(""https://docs.google.com/spreadsheets/d/1XL5vhW3sbDhbH9Cz0tuDiY8C3ctxq1tqvaCgkFb8cCA/edit?usp=sharing"",""อุบลราชธานี!J375"")"),0)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IFERROR(__xludf.DUMMYFUNCTION("IMPORTRANGE(""https://docs.google.com/spreadsheets/d/1XL5vhW3sbDhbH9Cz0tuDiY8C3ctxq1tqvaCgkFb8cCA/edit?usp=sharing"",""อุบลราชธานี!I378"")"),0)</f>
        <v>0</v>
      </c>
      <c r="J483" s="190">
        <f ca="1">IFERROR(__xludf.DUMMYFUNCTION("IMPORTRANGE(""https://docs.google.com/spreadsheets/d/1XL5vhW3sbDhbH9Cz0tuDiY8C3ctxq1tqvaCgkFb8cCA/edit?usp=sharing"",""อุบลราชธานี!J378"")"),0)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IFERROR(__xludf.DUMMYFUNCTION("IMPORTRANGE(""https://docs.google.com/spreadsheets/d/1XL5vhW3sbDhbH9Cz0tuDiY8C3ctxq1tqvaCgkFb8cCA/edit?usp=sharing"",""อุบลราชธานี!I379"")"),0)</f>
        <v>0</v>
      </c>
      <c r="J484" s="190">
        <f ca="1">IFERROR(__xludf.DUMMYFUNCTION("IMPORTRANGE(""https://docs.google.com/spreadsheets/d/1XL5vhW3sbDhbH9Cz0tuDiY8C3ctxq1tqvaCgkFb8cCA/edit?usp=sharing"",""อุบลราชธานี!J379"")"),0)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IFERROR(__xludf.DUMMYFUNCTION("IMPORTRANGE(""https://docs.google.com/spreadsheets/d/1XL5vhW3sbDhbH9Cz0tuDiY8C3ctxq1tqvaCgkFb8cCA/edit?usp=sharing"",""อุบลราชธานี!I380"")"),0)</f>
        <v>0</v>
      </c>
      <c r="J485" s="190">
        <f ca="1">IFERROR(__xludf.DUMMYFUNCTION("IMPORTRANGE(""https://docs.google.com/spreadsheets/d/1XL5vhW3sbDhbH9Cz0tuDiY8C3ctxq1tqvaCgkFb8cCA/edit?usp=sharing"",""อุบลราชธานี!J380"")"),0)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IFERROR(__xludf.DUMMYFUNCTION("IMPORTRANGE(""https://docs.google.com/spreadsheets/d/1XL5vhW3sbDhbH9Cz0tuDiY8C3ctxq1tqvaCgkFb8cCA/edit?usp=sharing"",""อุบลราชธานี!I381"")"),0)</f>
        <v>0</v>
      </c>
      <c r="J486" s="190">
        <f ca="1">IFERROR(__xludf.DUMMYFUNCTION("IMPORTRANGE(""https://docs.google.com/spreadsheets/d/1XL5vhW3sbDhbH9Cz0tuDiY8C3ctxq1tqvaCgkFb8cCA/edit?usp=sharing"",""อุบลราชธานี!J381"")"),0)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IFERROR(__xludf.DUMMYFUNCTION("IMPORTRANGE(""https://docs.google.com/spreadsheets/d/1XL5vhW3sbDhbH9Cz0tuDiY8C3ctxq1tqvaCgkFb8cCA/edit?usp=sharing"",""อุบลราชธานี!I384"")"),0)</f>
        <v>0</v>
      </c>
      <c r="J489" s="190">
        <f ca="1">IFERROR(__xludf.DUMMYFUNCTION("IMPORTRANGE(""https://docs.google.com/spreadsheets/d/1XL5vhW3sbDhbH9Cz0tuDiY8C3ctxq1tqvaCgkFb8cCA/edit?usp=sharing"",""อุบลราชธานี!J384"")"),0)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IFERROR(__xludf.DUMMYFUNCTION("IMPORTRANGE(""https://docs.google.com/spreadsheets/d/1XL5vhW3sbDhbH9Cz0tuDiY8C3ctxq1tqvaCgkFb8cCA/edit?usp=sharing"",""อุบลราชธานี!I385"")"),0)</f>
        <v>0</v>
      </c>
      <c r="J490" s="190">
        <f ca="1">IFERROR(__xludf.DUMMYFUNCTION("IMPORTRANGE(""https://docs.google.com/spreadsheets/d/1XL5vhW3sbDhbH9Cz0tuDiY8C3ctxq1tqvaCgkFb8cCA/edit?usp=sharing"",""อุบลราชธานี!J385"")"),0)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IFERROR(__xludf.DUMMYFUNCTION("IMPORTRANGE(""https://docs.google.com/spreadsheets/d/1XL5vhW3sbDhbH9Cz0tuDiY8C3ctxq1tqvaCgkFb8cCA/edit?usp=sharing"",""อุบลราชธานี!I386"")"),0)</f>
        <v>0</v>
      </c>
      <c r="J491" s="190">
        <f ca="1">IFERROR(__xludf.DUMMYFUNCTION("IMPORTRANGE(""https://docs.google.com/spreadsheets/d/1XL5vhW3sbDhbH9Cz0tuDiY8C3ctxq1tqvaCgkFb8cCA/edit?usp=sharing"",""อุบลราชธานี!J386"")"),0)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IFERROR(__xludf.DUMMYFUNCTION("IMPORTRANGE(""https://docs.google.com/spreadsheets/d/1XL5vhW3sbDhbH9Cz0tuDiY8C3ctxq1tqvaCgkFb8cCA/edit?usp=sharing"",""อุบลราชธานี!I387"")"),0)</f>
        <v>0</v>
      </c>
      <c r="J492" s="190">
        <f ca="1">IFERROR(__xludf.DUMMYFUNCTION("IMPORTRANGE(""https://docs.google.com/spreadsheets/d/1XL5vhW3sbDhbH9Cz0tuDiY8C3ctxq1tqvaCgkFb8cCA/edit?usp=sharing"",""อุบลราชธานี!J387"")"),0)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IFERROR(__xludf.DUMMYFUNCTION("IMPORTRANGE(""https://docs.google.com/spreadsheets/d/1XL5vhW3sbDhbH9Cz0tuDiY8C3ctxq1tqvaCgkFb8cCA/edit?usp=sharing"",""อุบลราชธานี!I388"")"),0)</f>
        <v>0</v>
      </c>
      <c r="J493" s="190">
        <f ca="1">IFERROR(__xludf.DUMMYFUNCTION("IMPORTRANGE(""https://docs.google.com/spreadsheets/d/1XL5vhW3sbDhbH9Cz0tuDiY8C3ctxq1tqvaCgkFb8cCA/edit?usp=sharing"",""อุบลราชธานี!J388"")"),0)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IFERROR(__xludf.DUMMYFUNCTION("IMPORTRANGE(""https://docs.google.com/spreadsheets/d/1XL5vhW3sbDhbH9Cz0tuDiY8C3ctxq1tqvaCgkFb8cCA/edit?usp=sharing"",""อุบลราชธานี!I395"")"),0)</f>
        <v>0</v>
      </c>
      <c r="J500" s="164">
        <f ca="1">IFERROR(__xludf.DUMMYFUNCTION("IMPORTRANGE(""https://docs.google.com/spreadsheets/d/1XL5vhW3sbDhbH9Cz0tuDiY8C3ctxq1tqvaCgkFb8cCA/edit?usp=sharing"",""อุบลราชธานี!J395"")"),0)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IFERROR(__xludf.DUMMYFUNCTION("IMPORTRANGE(""https://docs.google.com/spreadsheets/d/1XL5vhW3sbDhbH9Cz0tuDiY8C3ctxq1tqvaCgkFb8cCA/edit?usp=sharing"",""อุบลราชธานี!I396"")"),0)</f>
        <v>0</v>
      </c>
      <c r="J501" s="164">
        <f ca="1">IFERROR(__xludf.DUMMYFUNCTION("IMPORTRANGE(""https://docs.google.com/spreadsheets/d/1XL5vhW3sbDhbH9Cz0tuDiY8C3ctxq1tqvaCgkFb8cCA/edit?usp=sharing"",""อุบลราชธานี!J396"")"),0)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IFERROR(__xludf.DUMMYFUNCTION("IMPORTRANGE(""https://docs.google.com/spreadsheets/d/1XL5vhW3sbDhbH9Cz0tuDiY8C3ctxq1tqvaCgkFb8cCA/edit?usp=sharing"",""อุบลราชธานี!I397"")"),0)</f>
        <v>0</v>
      </c>
      <c r="J502" s="190">
        <f ca="1">IFERROR(__xludf.DUMMYFUNCTION("IMPORTRANGE(""https://docs.google.com/spreadsheets/d/1XL5vhW3sbDhbH9Cz0tuDiY8C3ctxq1tqvaCgkFb8cCA/edit?usp=sharing"",""อุบลราชธานี!J397"")"),0)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IFERROR(__xludf.DUMMYFUNCTION("IMPORTRANGE(""https://docs.google.com/spreadsheets/d/1XL5vhW3sbDhbH9Cz0tuDiY8C3ctxq1tqvaCgkFb8cCA/edit?usp=sharing"",""อุบลราชธานี!I398"")"),0)</f>
        <v>0</v>
      </c>
      <c r="J503" s="199">
        <f ca="1">IFERROR(__xludf.DUMMYFUNCTION("IMPORTRANGE(""https://docs.google.com/spreadsheets/d/1XL5vhW3sbDhbH9Cz0tuDiY8C3ctxq1tqvaCgkFb8cCA/edit?usp=sharing"",""อุบลราชธานี!J398"")"),0)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IFERROR(__xludf.DUMMYFUNCTION("IMPORTRANGE(""https://docs.google.com/spreadsheets/d/1XL5vhW3sbDhbH9Cz0tuDiY8C3ctxq1tqvaCgkFb8cCA/edit?usp=sharing"",""อุบลราชธานี!I399"")"),0)</f>
        <v>0</v>
      </c>
      <c r="J504" s="190">
        <f ca="1">IFERROR(__xludf.DUMMYFUNCTION("IMPORTRANGE(""https://docs.google.com/spreadsheets/d/1XL5vhW3sbDhbH9Cz0tuDiY8C3ctxq1tqvaCgkFb8cCA/edit?usp=sharing"",""อุบลราชธานี!J399"")"),0)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IFERROR(__xludf.DUMMYFUNCTION("IMPORTRANGE(""https://docs.google.com/spreadsheets/d/1XL5vhW3sbDhbH9Cz0tuDiY8C3ctxq1tqvaCgkFb8cCA/edit?usp=sharing"",""อุบลราชธานี!I400"")"),0)</f>
        <v>0</v>
      </c>
      <c r="J505" s="199">
        <f ca="1">IFERROR(__xludf.DUMMYFUNCTION("IMPORTRANGE(""https://docs.google.com/spreadsheets/d/1XL5vhW3sbDhbH9Cz0tuDiY8C3ctxq1tqvaCgkFb8cCA/edit?usp=sharing"",""อุบลราชธานี!J400"")"),0)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IFERROR(__xludf.DUMMYFUNCTION("IMPORTRANGE(""https://docs.google.com/spreadsheets/d/1XL5vhW3sbDhbH9Cz0tuDiY8C3ctxq1tqvaCgkFb8cCA/edit?usp=sharing"",""อุบลราชธานี!I401"")"),0)</f>
        <v>0</v>
      </c>
      <c r="J506" s="190">
        <f ca="1">IFERROR(__xludf.DUMMYFUNCTION("IMPORTRANGE(""https://docs.google.com/spreadsheets/d/1XL5vhW3sbDhbH9Cz0tuDiY8C3ctxq1tqvaCgkFb8cCA/edit?usp=sharing"",""อุบลราชธานี!J401"")"),0)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IFERROR(__xludf.DUMMYFUNCTION("IMPORTRANGE(""https://docs.google.com/spreadsheets/d/1XL5vhW3sbDhbH9Cz0tuDiY8C3ctxq1tqvaCgkFb8cCA/edit?usp=sharing"",""อุบลราชธานี!I402"")"),0)</f>
        <v>0</v>
      </c>
      <c r="J507" s="199">
        <f ca="1">IFERROR(__xludf.DUMMYFUNCTION("IMPORTRANGE(""https://docs.google.com/spreadsheets/d/1XL5vhW3sbDhbH9Cz0tuDiY8C3ctxq1tqvaCgkFb8cCA/edit?usp=sharing"",""อุบลราชธานี!J402"")"),0)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IFERROR(__xludf.DUMMYFUNCTION("IMPORTRANGE(""https://docs.google.com/spreadsheets/d/1XL5vhW3sbDhbH9Cz0tuDiY8C3ctxq1tqvaCgkFb8cCA/edit?usp=sharing"",""อุบลราชธานี!I403"")"),0)</f>
        <v>0</v>
      </c>
      <c r="J508" s="164">
        <f ca="1">IFERROR(__xludf.DUMMYFUNCTION("IMPORTRANGE(""https://docs.google.com/spreadsheets/d/1XL5vhW3sbDhbH9Cz0tuDiY8C3ctxq1tqvaCgkFb8cCA/edit?usp=sharing"",""อุบลราชธานี!J403"")"),0)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IFERROR(__xludf.DUMMYFUNCTION("IMPORTRANGE(""https://docs.google.com/spreadsheets/d/1XL5vhW3sbDhbH9Cz0tuDiY8C3ctxq1tqvaCgkFb8cCA/edit?usp=sharing"",""อุบลราชธานี!I404"")"),0)</f>
        <v>0</v>
      </c>
      <c r="J509" s="164">
        <f ca="1">IFERROR(__xludf.DUMMYFUNCTION("IMPORTRANGE(""https://docs.google.com/spreadsheets/d/1XL5vhW3sbDhbH9Cz0tuDiY8C3ctxq1tqvaCgkFb8cCA/edit?usp=sharing"",""อุบลราชธานี!J404"")"),0)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IFERROR(__xludf.DUMMYFUNCTION("IMPORTRANGE(""https://docs.google.com/spreadsheets/d/1XL5vhW3sbDhbH9Cz0tuDiY8C3ctxq1tqvaCgkFb8cCA/edit?usp=sharing"",""อุบลราชธานี!I405"")"),0)</f>
        <v>0</v>
      </c>
      <c r="J510" s="199">
        <f ca="1">IFERROR(__xludf.DUMMYFUNCTION("IMPORTRANGE(""https://docs.google.com/spreadsheets/d/1XL5vhW3sbDhbH9Cz0tuDiY8C3ctxq1tqvaCgkFb8cCA/edit?usp=sharing"",""อุบลราชธานี!J405"")"),0)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IFERROR(__xludf.DUMMYFUNCTION("IMPORTRANGE(""https://docs.google.com/spreadsheets/d/1XL5vhW3sbDhbH9Cz0tuDiY8C3ctxq1tqvaCgkFb8cCA/edit?usp=sharing"",""อุบลราชธานี!I406"")"),0)</f>
        <v>0</v>
      </c>
      <c r="J511" s="199">
        <f ca="1">IFERROR(__xludf.DUMMYFUNCTION("IMPORTRANGE(""https://docs.google.com/spreadsheets/d/1XL5vhW3sbDhbH9Cz0tuDiY8C3ctxq1tqvaCgkFb8cCA/edit?usp=sharing"",""อุบลราชธานี!J406"")"),0)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IFERROR(__xludf.DUMMYFUNCTION("IMPORTRANGE(""https://docs.google.com/spreadsheets/d/1XL5vhW3sbDhbH9Cz0tuDiY8C3ctxq1tqvaCgkFb8cCA/edit?usp=sharing"",""อุบลราชธานี!I407"")"),0)</f>
        <v>0</v>
      </c>
      <c r="J512" s="199">
        <f ca="1">IFERROR(__xludf.DUMMYFUNCTION("IMPORTRANGE(""https://docs.google.com/spreadsheets/d/1XL5vhW3sbDhbH9Cz0tuDiY8C3ctxq1tqvaCgkFb8cCA/edit?usp=sharing"",""อุบลราชธานี!J407"")"),0)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IFERROR(__xludf.DUMMYFUNCTION("IMPORTRANGE(""https://docs.google.com/spreadsheets/d/1XL5vhW3sbDhbH9Cz0tuDiY8C3ctxq1tqvaCgkFb8cCA/edit?usp=sharing"",""อุบลราชธานี!I408"")"),0)</f>
        <v>0</v>
      </c>
      <c r="J513" s="199">
        <f ca="1">IFERROR(__xludf.DUMMYFUNCTION("IMPORTRANGE(""https://docs.google.com/spreadsheets/d/1XL5vhW3sbDhbH9Cz0tuDiY8C3ctxq1tqvaCgkFb8cCA/edit?usp=sharing"",""อุบลราชธานี!J408"")"),0)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IFERROR(__xludf.DUMMYFUNCTION("IMPORTRANGE(""https://docs.google.com/spreadsheets/d/1XL5vhW3sbDhbH9Cz0tuDiY8C3ctxq1tqvaCgkFb8cCA/edit?usp=sharing"",""อุบลราชธานี!I409"")"),0)</f>
        <v>0</v>
      </c>
      <c r="J514" s="199">
        <f ca="1">IFERROR(__xludf.DUMMYFUNCTION("IMPORTRANGE(""https://docs.google.com/spreadsheets/d/1XL5vhW3sbDhbH9Cz0tuDiY8C3ctxq1tqvaCgkFb8cCA/edit?usp=sharing"",""อุบลราชธานี!J409"")"),0)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IFERROR(__xludf.DUMMYFUNCTION("IMPORTRANGE(""https://docs.google.com/spreadsheets/d/1XL5vhW3sbDhbH9Cz0tuDiY8C3ctxq1tqvaCgkFb8cCA/edit?usp=sharing"",""อุบลราชธานี!I410"")"),0)</f>
        <v>0</v>
      </c>
      <c r="J515" s="199">
        <f ca="1">IFERROR(__xludf.DUMMYFUNCTION("IMPORTRANGE(""https://docs.google.com/spreadsheets/d/1XL5vhW3sbDhbH9Cz0tuDiY8C3ctxq1tqvaCgkFb8cCA/edit?usp=sharing"",""อุบลราชธานี!J410"")"),0)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IFERROR(__xludf.DUMMYFUNCTION("IMPORTRANGE(""https://docs.google.com/spreadsheets/d/1XL5vhW3sbDhbH9Cz0tuDiY8C3ctxq1tqvaCgkFb8cCA/edit?usp=sharing"",""อุบลราชธานี!I412"")"),0)</f>
        <v>0</v>
      </c>
      <c r="J517" s="284">
        <f ca="1">IFERROR(__xludf.DUMMYFUNCTION("IMPORTRANGE(""https://docs.google.com/spreadsheets/d/1XL5vhW3sbDhbH9Cz0tuDiY8C3ctxq1tqvaCgkFb8cCA/edit?usp=sharing"",""อุบลราชธานี!J412"")"),0)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IFERROR(__xludf.DUMMYFUNCTION("IMPORTRANGE(""https://docs.google.com/spreadsheets/d/1XL5vhW3sbDhbH9Cz0tuDiY8C3ctxq1tqvaCgkFb8cCA/edit?usp=sharing"",""อุบลราชธานี!I413"")"),0)</f>
        <v>0</v>
      </c>
      <c r="J518" s="284">
        <f ca="1">IFERROR(__xludf.DUMMYFUNCTION("IMPORTRANGE(""https://docs.google.com/spreadsheets/d/1XL5vhW3sbDhbH9Cz0tuDiY8C3ctxq1tqvaCgkFb8cCA/edit?usp=sharing"",""อุบลราชธานี!J413"")"),0)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IFERROR(__xludf.DUMMYFUNCTION("IMPORTRANGE(""https://docs.google.com/spreadsheets/d/1XL5vhW3sbDhbH9Cz0tuDiY8C3ctxq1tqvaCgkFb8cCA/edit?usp=sharing"",""อุบลราชธานี!I414"")"),0)</f>
        <v>0</v>
      </c>
      <c r="J519" s="189">
        <f ca="1">IFERROR(__xludf.DUMMYFUNCTION("IMPORTRANGE(""https://docs.google.com/spreadsheets/d/1XL5vhW3sbDhbH9Cz0tuDiY8C3ctxq1tqvaCgkFb8cCA/edit?usp=sharing"",""อุบลราชธานี!J414"")"),0)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IFERROR(__xludf.DUMMYFUNCTION("IMPORTRANGE(""https://docs.google.com/spreadsheets/d/1XL5vhW3sbDhbH9Cz0tuDiY8C3ctxq1tqvaCgkFb8cCA/edit?usp=sharing"",""อุบลราชธานี!I415"")"),0)</f>
        <v>0</v>
      </c>
      <c r="J520" s="189">
        <f ca="1">IFERROR(__xludf.DUMMYFUNCTION("IMPORTRANGE(""https://docs.google.com/spreadsheets/d/1XL5vhW3sbDhbH9Cz0tuDiY8C3ctxq1tqvaCgkFb8cCA/edit?usp=sharing"",""อุบลราชธานี!J415"")"),0)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IFERROR(__xludf.DUMMYFUNCTION("IMPORTRANGE(""https://docs.google.com/spreadsheets/d/1XL5vhW3sbDhbH9Cz0tuDiY8C3ctxq1tqvaCgkFb8cCA/edit?usp=sharing"",""อุบลราชธานี!I416"")"),0)</f>
        <v>0</v>
      </c>
      <c r="J521" s="189">
        <f ca="1">IFERROR(__xludf.DUMMYFUNCTION("IMPORTRANGE(""https://docs.google.com/spreadsheets/d/1XL5vhW3sbDhbH9Cz0tuDiY8C3ctxq1tqvaCgkFb8cCA/edit?usp=sharing"",""อุบลราชธานี!J416"")"),0)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IFERROR(__xludf.DUMMYFUNCTION("IMPORTRANGE(""https://docs.google.com/spreadsheets/d/1XL5vhW3sbDhbH9Cz0tuDiY8C3ctxq1tqvaCgkFb8cCA/edit?usp=sharing"",""อุบลราชธานี!I417"")"),0)</f>
        <v>0</v>
      </c>
      <c r="J522" s="189">
        <f ca="1">IFERROR(__xludf.DUMMYFUNCTION("IMPORTRANGE(""https://docs.google.com/spreadsheets/d/1XL5vhW3sbDhbH9Cz0tuDiY8C3ctxq1tqvaCgkFb8cCA/edit?usp=sharing"",""อุบลราชธานี!J417"")"),0)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IFERROR(__xludf.DUMMYFUNCTION("IMPORTRANGE(""https://docs.google.com/spreadsheets/d/1XL5vhW3sbDhbH9Cz0tuDiY8C3ctxq1tqvaCgkFb8cCA/edit?usp=sharing"",""อุบลราชธานี!I418"")"),0)</f>
        <v>0</v>
      </c>
      <c r="J523" s="189">
        <f ca="1">IFERROR(__xludf.DUMMYFUNCTION("IMPORTRANGE(""https://docs.google.com/spreadsheets/d/1XL5vhW3sbDhbH9Cz0tuDiY8C3ctxq1tqvaCgkFb8cCA/edit?usp=sharing"",""อุบลราชธานี!J418"")"),0)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IFERROR(__xludf.DUMMYFUNCTION("IMPORTRANGE(""https://docs.google.com/spreadsheets/d/1XL5vhW3sbDhbH9Cz0tuDiY8C3ctxq1tqvaCgkFb8cCA/edit?usp=sharing"",""อุบลราชธานี!I419"")"),0)</f>
        <v>0</v>
      </c>
      <c r="J524" s="189">
        <f ca="1">IFERROR(__xludf.DUMMYFUNCTION("IMPORTRANGE(""https://docs.google.com/spreadsheets/d/1XL5vhW3sbDhbH9Cz0tuDiY8C3ctxq1tqvaCgkFb8cCA/edit?usp=sharing"",""อุบลราชธานี!J419"")"),0)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IFERROR(__xludf.DUMMYFUNCTION("IMPORTRANGE(""https://docs.google.com/spreadsheets/d/1XL5vhW3sbDhbH9Cz0tuDiY8C3ctxq1tqvaCgkFb8cCA/edit?usp=sharing"",""อุบลราชธานี!I420"")"),0)</f>
        <v>0</v>
      </c>
      <c r="J525" s="284">
        <f ca="1">IFERROR(__xludf.DUMMYFUNCTION("IMPORTRANGE(""https://docs.google.com/spreadsheets/d/1XL5vhW3sbDhbH9Cz0tuDiY8C3ctxq1tqvaCgkFb8cCA/edit?usp=sharing"",""อุบลราชธานี!J420"")"),0)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IFERROR(__xludf.DUMMYFUNCTION("IMPORTRANGE(""https://docs.google.com/spreadsheets/d/1XL5vhW3sbDhbH9Cz0tuDiY8C3ctxq1tqvaCgkFb8cCA/edit?usp=sharing"",""อุบลราชธานี!I421"")"),0)</f>
        <v>0</v>
      </c>
      <c r="J526" s="284">
        <f ca="1">IFERROR(__xludf.DUMMYFUNCTION("IMPORTRANGE(""https://docs.google.com/spreadsheets/d/1XL5vhW3sbDhbH9Cz0tuDiY8C3ctxq1tqvaCgkFb8cCA/edit?usp=sharing"",""อุบลราชธานี!J421"")"),0)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IFERROR(__xludf.DUMMYFUNCTION("IMPORTRANGE(""https://docs.google.com/spreadsheets/d/1XL5vhW3sbDhbH9Cz0tuDiY8C3ctxq1tqvaCgkFb8cCA/edit?usp=sharing"",""อุบลราชธานี!I422"")"),0)</f>
        <v>0</v>
      </c>
      <c r="J527" s="199">
        <f ca="1">IFERROR(__xludf.DUMMYFUNCTION("IMPORTRANGE(""https://docs.google.com/spreadsheets/d/1XL5vhW3sbDhbH9Cz0tuDiY8C3ctxq1tqvaCgkFb8cCA/edit?usp=sharing"",""อุบลราชธานี!J422"")"),0)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IFERROR(__xludf.DUMMYFUNCTION("IMPORTRANGE(""https://docs.google.com/spreadsheets/d/1XL5vhW3sbDhbH9Cz0tuDiY8C3ctxq1tqvaCgkFb8cCA/edit?usp=sharing"",""อุบลราชธานี!I423"")"),0)</f>
        <v>0</v>
      </c>
      <c r="J528" s="199">
        <f ca="1">IFERROR(__xludf.DUMMYFUNCTION("IMPORTRANGE(""https://docs.google.com/spreadsheets/d/1XL5vhW3sbDhbH9Cz0tuDiY8C3ctxq1tqvaCgkFb8cCA/edit?usp=sharing"",""อุบลราชธานี!J423"")"),0)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IFERROR(__xludf.DUMMYFUNCTION("IMPORTRANGE(""https://docs.google.com/spreadsheets/d/1XL5vhW3sbDhbH9Cz0tuDiY8C3ctxq1tqvaCgkFb8cCA/edit?usp=sharing"",""อุบลราชธานี!I424"")"),0)</f>
        <v>0</v>
      </c>
      <c r="J529" s="199">
        <f ca="1">IFERROR(__xludf.DUMMYFUNCTION("IMPORTRANGE(""https://docs.google.com/spreadsheets/d/1XL5vhW3sbDhbH9Cz0tuDiY8C3ctxq1tqvaCgkFb8cCA/edit?usp=sharing"",""อุบลราชธานี!J424"")"),0)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IFERROR(__xludf.DUMMYFUNCTION("IMPORTRANGE(""https://docs.google.com/spreadsheets/d/1XL5vhW3sbDhbH9Cz0tuDiY8C3ctxq1tqvaCgkFb8cCA/edit?usp=sharing"",""อุบลราชธานี!I425"")"),0)</f>
        <v>0</v>
      </c>
      <c r="J530" s="199">
        <f ca="1">IFERROR(__xludf.DUMMYFUNCTION("IMPORTRANGE(""https://docs.google.com/spreadsheets/d/1XL5vhW3sbDhbH9Cz0tuDiY8C3ctxq1tqvaCgkFb8cCA/edit?usp=sharing"",""อุบลราชธานี!J425"")"),0)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IFERROR(__xludf.DUMMYFUNCTION("IMPORTRANGE(""https://docs.google.com/spreadsheets/d/1XL5vhW3sbDhbH9Cz0tuDiY8C3ctxq1tqvaCgkFb8cCA/edit?usp=sharing"",""อุบลราชธานี!I426"")"),0)</f>
        <v>0</v>
      </c>
      <c r="J531" s="199">
        <f ca="1">IFERROR(__xludf.DUMMYFUNCTION("IMPORTRANGE(""https://docs.google.com/spreadsheets/d/1XL5vhW3sbDhbH9Cz0tuDiY8C3ctxq1tqvaCgkFb8cCA/edit?usp=sharing"",""อุบลราชธานี!J426"")"),0)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IFERROR(__xludf.DUMMYFUNCTION("IMPORTRANGE(""https://docs.google.com/spreadsheets/d/1XL5vhW3sbDhbH9Cz0tuDiY8C3ctxq1tqvaCgkFb8cCA/edit?usp=sharing"",""อุบลราชธานี!M428"")"),32283.5)</f>
        <v>32283.5</v>
      </c>
      <c r="O533" s="412">
        <f t="shared" ref="O533:O537" ca="1" si="118">+IF(L533&gt;0,N533*100/L533,0)</f>
        <v>89.576859045504989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IFERROR(__xludf.DUMMYFUNCTION("IMPORTRANGE(""https://docs.google.com/spreadsheets/d/1XL5vhW3sbDhbH9Cz0tuDiY8C3ctxq1tqvaCgkFb8cCA/edit?usp=sharing"",""อุบลราชธานี!L429"")"),0)</f>
        <v>0</v>
      </c>
      <c r="M534" s="166"/>
      <c r="N534" s="170">
        <f ca="1">IFERROR(__xludf.DUMMYFUNCTION("IMPORTRANGE(""https://docs.google.com/spreadsheets/d/1XL5vhW3sbDhbH9Cz0tuDiY8C3ctxq1tqvaCgkFb8cCA/edit?usp=sharing"",""อุบลราชธานี!M429"")"),0)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7"/>
      <c r="N535" s="170">
        <f ca="1">IFERROR(__xludf.DUMMYFUNCTION("IMPORTRANGE(""https://docs.google.com/spreadsheets/d/1XL5vhW3sbDhbH9Cz0tuDiY8C3ctxq1tqvaCgkFb8cCA/edit?usp=sharing"",""อุบลราชธานี!M430"")"),32283.5)</f>
        <v>32283.5</v>
      </c>
      <c r="O535" s="170">
        <f t="shared" ca="1" si="118"/>
        <v>89.576859045504989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IFERROR(__xludf.DUMMYFUNCTION("IMPORTRANGE(""https://docs.google.com/spreadsheets/d/1XL5vhW3sbDhbH9Cz0tuDiY8C3ctxq1tqvaCgkFb8cCA/edit?usp=sharing"",""อุบลราชธานี!L431"")"),0)</f>
        <v>0</v>
      </c>
      <c r="M536" s="170"/>
      <c r="N536" s="170">
        <f ca="1">IFERROR(__xludf.DUMMYFUNCTION("IMPORTRANGE(""https://docs.google.com/spreadsheets/d/1XL5vhW3sbDhbH9Cz0tuDiY8C3ctxq1tqvaCgkFb8cCA/edit?usp=sharing"",""อุบลราชธานี!M431"")"),0)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70"/>
      <c r="N537" s="170">
        <f ca="1">IFERROR(__xludf.DUMMYFUNCTION("IMPORTRANGE(""https://docs.google.com/spreadsheets/d/1XL5vhW3sbDhbH9Cz0tuDiY8C3ctxq1tqvaCgkFb8cCA/edit?usp=sharing"",""อุบลราชธานี!M432"")"),32283.5)</f>
        <v>32283.5</v>
      </c>
      <c r="O537" s="170">
        <f t="shared" ca="1" si="118"/>
        <v>89.576859045504989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IFERROR(__xludf.DUMMYFUNCTION("IMPORTRANGE(""https://docs.google.com/spreadsheets/d/1XL5vhW3sbDhbH9Cz0tuDiY8C3ctxq1tqvaCgkFb8cCA/edit?usp=sharing"",""อุบลราชธานี!M436"")"),8903.5)</f>
        <v>8903.5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IFERROR(__xludf.DUMMYFUNCTION("IMPORTRANGE(""https://docs.google.com/spreadsheets/d/1XL5vhW3sbDhbH9Cz0tuDiY8C3ctxq1tqvaCgkFb8cCA/edit?usp=sharing"",""อุบลราชธานี!J438"")"),0)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IFERROR(__xludf.DUMMYFUNCTION("IMPORTRANGE(""https://docs.google.com/spreadsheets/d/1XL5vhW3sbDhbH9Cz0tuDiY8C3ctxq1tqvaCgkFb8cCA/edit?usp=sharing"",""อุบลราชธานี!J439"")"),1)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IFERROR(__xludf.DUMMYFUNCTION("IMPORTRANGE(""https://docs.google.com/spreadsheets/d/1XL5vhW3sbDhbH9Cz0tuDiY8C3ctxq1tqvaCgkFb8cCA/edit?usp=sharing"",""อุบลราชธานี!J440"")"),1)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IFERROR(__xludf.DUMMYFUNCTION("IMPORTRANGE(""https://docs.google.com/spreadsheets/d/1XL5vhW3sbDhbH9Cz0tuDiY8C3ctxq1tqvaCgkFb8cCA/edit?usp=sharing"",""อุบลราชธานี!J441"")"),1)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IFERROR(__xludf.DUMMYFUNCTION("IMPORTRANGE(""https://docs.google.com/spreadsheets/d/1XL5vhW3sbDhbH9Cz0tuDiY8C3ctxq1tqvaCgkFb8cCA/edit?usp=sharing"",""อุบลราชธานี!I442"")"),24)</f>
        <v>24</v>
      </c>
      <c r="J547" s="190">
        <f ca="1">IFERROR(__xludf.DUMMYFUNCTION("IMPORTRANGE(""https://docs.google.com/spreadsheets/d/1XL5vhW3sbDhbH9Cz0tuDiY8C3ctxq1tqvaCgkFb8cCA/edit?usp=sharing"",""อุบลราชธานี!J442"")"),24)</f>
        <v>24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IFERROR(__xludf.DUMMYFUNCTION("IMPORTRANGE(""https://docs.google.com/spreadsheets/d/1XL5vhW3sbDhbH9Cz0tuDiY8C3ctxq1tqvaCgkFb8cCA/edit?usp=sharing"",""อุบลราชธานี!J166"")"),0)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IFERROR(__xludf.DUMMYFUNCTION("IMPORTRANGE(""https://docs.google.com/spreadsheets/d/1XL5vhW3sbDhbH9Cz0tuDiY8C3ctxq1tqvaCgkFb8cCA/edit?usp=sharing"",""อุบลราชธานี!J444"")"),0)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IFERROR(__xludf.DUMMYFUNCTION("IMPORTRANGE(""https://docs.google.com/spreadsheets/d/1XL5vhW3sbDhbH9Cz0tuDiY8C3ctxq1tqvaCgkFb8cCA/edit?usp=sharing"",""อุบลราชธานี!J446"")"),2583)</f>
        <v>2583</v>
      </c>
      <c r="K551" s="411">
        <f ca="1">IF(I551&gt;0,J551*100/I551,0)</f>
        <v>51.66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IFERROR(__xludf.DUMMYFUNCTION("IMPORTRANGE(""https://docs.google.com/spreadsheets/d/1XL5vhW3sbDhbH9Cz0tuDiY8C3ctxq1tqvaCgkFb8cCA/edit?usp=sharing"",""อุบลราชธานี!M446"")"),132278.3)</f>
        <v>132278.29999999999</v>
      </c>
      <c r="O551" s="412">
        <f t="shared" ref="O551:O555" ca="1" si="120">+IF(L551&gt;0,N551*100/L551,0)</f>
        <v>41.336968749999997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IFERROR(__xludf.DUMMYFUNCTION("IMPORTRANGE(""https://docs.google.com/spreadsheets/d/1XL5vhW3sbDhbH9Cz0tuDiY8C3ctxq1tqvaCgkFb8cCA/edit?usp=sharing"",""อุบลราชธานี!L447"")"),0)</f>
        <v>0</v>
      </c>
      <c r="M552" s="166"/>
      <c r="N552" s="170">
        <f ca="1">IFERROR(__xludf.DUMMYFUNCTION("IMPORTRANGE(""https://docs.google.com/spreadsheets/d/1XL5vhW3sbDhbH9Cz0tuDiY8C3ctxq1tqvaCgkFb8cCA/edit?usp=sharing"",""อุบลราชธานี!M447"")"),0)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7"/>
      <c r="N553" s="170">
        <f ca="1">IFERROR(__xludf.DUMMYFUNCTION("IMPORTRANGE(""https://docs.google.com/spreadsheets/d/1XL5vhW3sbDhbH9Cz0tuDiY8C3ctxq1tqvaCgkFb8cCA/edit?usp=sharing"",""อุบลราชธานี!M448"")"),132278.3)</f>
        <v>132278.29999999999</v>
      </c>
      <c r="O553" s="170">
        <f t="shared" ca="1" si="120"/>
        <v>41.336968749999997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IFERROR(__xludf.DUMMYFUNCTION("IMPORTRANGE(""https://docs.google.com/spreadsheets/d/1XL5vhW3sbDhbH9Cz0tuDiY8C3ctxq1tqvaCgkFb8cCA/edit?usp=sharing"",""อุบลราชธานี!L449"")"),0)</f>
        <v>0</v>
      </c>
      <c r="M554" s="170"/>
      <c r="N554" s="170">
        <f ca="1">IFERROR(__xludf.DUMMYFUNCTION("IMPORTRANGE(""https://docs.google.com/spreadsheets/d/1XL5vhW3sbDhbH9Cz0tuDiY8C3ctxq1tqvaCgkFb8cCA/edit?usp=sharing"",""อุบลราชธานี!M449"")"),0)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70"/>
      <c r="N555" s="170">
        <f ca="1">IFERROR(__xludf.DUMMYFUNCTION("IMPORTRANGE(""https://docs.google.com/spreadsheets/d/1XL5vhW3sbDhbH9Cz0tuDiY8C3ctxq1tqvaCgkFb8cCA/edit?usp=sharing"",""อุบลราชธานี!M450"")"),132278.3)</f>
        <v>132278.29999999999</v>
      </c>
      <c r="O555" s="170">
        <f t="shared" ca="1" si="120"/>
        <v>41.336968749999997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IFERROR(__xludf.DUMMYFUNCTION("IMPORTRANGE(""https://docs.google.com/spreadsheets/d/1XL5vhW3sbDhbH9Cz0tuDiY8C3ctxq1tqvaCgkFb8cCA/edit?usp=sharing"",""อุบลราชธานี!M451"")"),0)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IFERROR(__xludf.DUMMYFUNCTION("IMPORTRANGE(""https://docs.google.com/spreadsheets/d/1XL5vhW3sbDhbH9Cz0tuDiY8C3ctxq1tqvaCgkFb8cCA/edit?usp=sharing"",""อุบลราชธานี!M452"")"),0)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IFERROR(__xludf.DUMMYFUNCTION("IMPORTRANGE(""https://docs.google.com/spreadsheets/d/1XL5vhW3sbDhbH9Cz0tuDiY8C3ctxq1tqvaCgkFb8cCA/edit?usp=sharing"",""อุบลราชธานี!M453"")"),32700)</f>
        <v>32700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IFERROR(__xludf.DUMMYFUNCTION("IMPORTRANGE(""https://docs.google.com/spreadsheets/d/1XL5vhW3sbDhbH9Cz0tuDiY8C3ctxq1tqvaCgkFb8cCA/edit?usp=sharing"",""อุบลราชธานี!M454"")"),99578.3)</f>
        <v>99578.3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IFERROR(__xludf.DUMMYFUNCTION("IMPORTRANGE(""https://docs.google.com/spreadsheets/d/1XL5vhW3sbDhbH9Cz0tuDiY8C3ctxq1tqvaCgkFb8cCA/edit?usp=sharing"",""อุบลราชธานี!I455"")"),5000)</f>
        <v>5000</v>
      </c>
      <c r="J560" s="164">
        <f ca="1">IFERROR(__xludf.DUMMYFUNCTION("IMPORTRANGE(""https://docs.google.com/spreadsheets/d/1XL5vhW3sbDhbH9Cz0tuDiY8C3ctxq1tqvaCgkFb8cCA/edit?usp=sharing"",""อุบลราชธานี!J455"")"),2583)</f>
        <v>2583</v>
      </c>
      <c r="K560" s="225">
        <f t="shared" ref="K560:K564" ca="1" si="121">IF(I560&gt;0,J560*100/I560,0)</f>
        <v>51.66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IFERROR(__xludf.DUMMYFUNCTION("IMPORTRANGE(""https://docs.google.com/spreadsheets/d/1XL5vhW3sbDhbH9Cz0tuDiY8C3ctxq1tqvaCgkFb8cCA/edit?usp=sharing"",""อุบลราชธานี!I456"")"),0)</f>
        <v>0</v>
      </c>
      <c r="J561" s="205">
        <f ca="1">IFERROR(__xludf.DUMMYFUNCTION("IMPORTRANGE(""https://docs.google.com/spreadsheets/d/1XL5vhW3sbDhbH9Cz0tuDiY8C3ctxq1tqvaCgkFb8cCA/edit?usp=sharing"",""อุบลราชธานี!J456"")"),179)</f>
        <v>179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IFERROR(__xludf.DUMMYFUNCTION("IMPORTRANGE(""https://docs.google.com/spreadsheets/d/1XL5vhW3sbDhbH9Cz0tuDiY8C3ctxq1tqvaCgkFb8cCA/edit?usp=sharing"",""อุบลราชธานี!I457"")"),0)</f>
        <v>0</v>
      </c>
      <c r="J562" s="205" t="str">
        <f ca="1">IFERROR(__xludf.DUMMYFUNCTION("IMPORTRANGE(""https://docs.google.com/spreadsheets/d/1XL5vhW3sbDhbH9Cz0tuDiY8C3ctxq1tqvaCgkFb8cCA/edit?usp=sharing"",""อุบลราชธานี!J457"")"),"")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IFERROR(__xludf.DUMMYFUNCTION("IMPORTRANGE(""https://docs.google.com/spreadsheets/d/1XL5vhW3sbDhbH9Cz0tuDiY8C3ctxq1tqvaCgkFb8cCA/edit?usp=sharing"",""อุบลราชธานี!I458"")"),0)</f>
        <v>0</v>
      </c>
      <c r="J563" s="189" t="str">
        <f ca="1">IFERROR(__xludf.DUMMYFUNCTION("IMPORTRANGE(""https://docs.google.com/spreadsheets/d/1XL5vhW3sbDhbH9Cz0tuDiY8C3ctxq1tqvaCgkFb8cCA/edit?usp=sharing"",""อุบลราชธานี!J458"")"),"")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IFERROR(__xludf.DUMMYFUNCTION("IMPORTRANGE(""https://docs.google.com/spreadsheets/d/1XL5vhW3sbDhbH9Cz0tuDiY8C3ctxq1tqvaCgkFb8cCA/edit?usp=sharing"",""อุบลราชธานี!J459"")"),5303)</f>
        <v>5303</v>
      </c>
      <c r="K564" s="372">
        <f t="shared" ca="1" si="121"/>
        <v>73.652777777777771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IFERROR(__xludf.DUMMYFUNCTION("IMPORTRANGE(""https://docs.google.com/spreadsheets/d/1XL5vhW3sbDhbH9Cz0tuDiY8C3ctxq1tqvaCgkFb8cCA/edit?usp=sharing"",""อุบลราชธานี!M459"")"),99387)</f>
        <v>99387</v>
      </c>
      <c r="O564" s="373">
        <f t="shared" ref="O564:O568" ca="1" si="122">+IF(L564&gt;0,N564*100/L564,0)</f>
        <v>50.399087221095336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IFERROR(__xludf.DUMMYFUNCTION("IMPORTRANGE(""https://docs.google.com/spreadsheets/d/1XL5vhW3sbDhbH9Cz0tuDiY8C3ctxq1tqvaCgkFb8cCA/edit?usp=sharing"",""อุบลราชธานี!L460"")"),0)</f>
        <v>0</v>
      </c>
      <c r="M565" s="166"/>
      <c r="N565" s="170">
        <f ca="1">IFERROR(__xludf.DUMMYFUNCTION("IMPORTRANGE(""https://docs.google.com/spreadsheets/d/1XL5vhW3sbDhbH9Cz0tuDiY8C3ctxq1tqvaCgkFb8cCA/edit?usp=sharing"",""อุบลราชธานี!M460"")"),0)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7"/>
      <c r="N566" s="170">
        <f ca="1">IFERROR(__xludf.DUMMYFUNCTION("IMPORTRANGE(""https://docs.google.com/spreadsheets/d/1XL5vhW3sbDhbH9Cz0tuDiY8C3ctxq1tqvaCgkFb8cCA/edit?usp=sharing"",""อุบลราชธานี!M461"")"),99387)</f>
        <v>99387</v>
      </c>
      <c r="O566" s="170">
        <f t="shared" ca="1" si="122"/>
        <v>50.399087221095336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IFERROR(__xludf.DUMMYFUNCTION("IMPORTRANGE(""https://docs.google.com/spreadsheets/d/1XL5vhW3sbDhbH9Cz0tuDiY8C3ctxq1tqvaCgkFb8cCA/edit?usp=sharing"",""อุบลราชธานี!L462"")"),0)</f>
        <v>0</v>
      </c>
      <c r="M567" s="170"/>
      <c r="N567" s="170">
        <f ca="1">IFERROR(__xludf.DUMMYFUNCTION("IMPORTRANGE(""https://docs.google.com/spreadsheets/d/1XL5vhW3sbDhbH9Cz0tuDiY8C3ctxq1tqvaCgkFb8cCA/edit?usp=sharing"",""อุบลราชธานี!M462"")"),0)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70"/>
      <c r="N568" s="170">
        <f ca="1">IFERROR(__xludf.DUMMYFUNCTION("IMPORTRANGE(""https://docs.google.com/spreadsheets/d/1XL5vhW3sbDhbH9Cz0tuDiY8C3ctxq1tqvaCgkFb8cCA/edit?usp=sharing"",""อุบลราชธานี!M463"")"),99387)</f>
        <v>99387</v>
      </c>
      <c r="O568" s="170">
        <f t="shared" ca="1" si="122"/>
        <v>50.399087221095336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IFERROR(__xludf.DUMMYFUNCTION("IMPORTRANGE(""https://docs.google.com/spreadsheets/d/1XL5vhW3sbDhbH9Cz0tuDiY8C3ctxq1tqvaCgkFb8cCA/edit?usp=sharing"",""อุบลราชธานี!M464"")"),0)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IFERROR(__xludf.DUMMYFUNCTION("IMPORTRANGE(""https://docs.google.com/spreadsheets/d/1XL5vhW3sbDhbH9Cz0tuDiY8C3ctxq1tqvaCgkFb8cCA/edit?usp=sharing"",""อุบลราชธานี!M465"")"),0)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IFERROR(__xludf.DUMMYFUNCTION("IMPORTRANGE(""https://docs.google.com/spreadsheets/d/1XL5vhW3sbDhbH9Cz0tuDiY8C3ctxq1tqvaCgkFb8cCA/edit?usp=sharing"",""อุบลราชธานี!M466"")"),53568)</f>
        <v>53568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IFERROR(__xludf.DUMMYFUNCTION("IMPORTRANGE(""https://docs.google.com/spreadsheets/d/1XL5vhW3sbDhbH9Cz0tuDiY8C3ctxq1tqvaCgkFb8cCA/edit?usp=sharing"",""อุบลราชธานี!M467"")"),45819)</f>
        <v>45819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IFERROR(__xludf.DUMMYFUNCTION("IMPORTRANGE(""https://docs.google.com/spreadsheets/d/1XL5vhW3sbDhbH9Cz0tuDiY8C3ctxq1tqvaCgkFb8cCA/edit?usp=sharing"",""อุบลราชธานี!J468"")"),5303)</f>
        <v>5303</v>
      </c>
      <c r="K573" s="203">
        <f ca="1">IF(I573&gt;0,J573*100/I573,0)</f>
        <v>73.652777777777771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IFERROR(__xludf.DUMMYFUNCTION("IMPORTRANGE(""https://docs.google.com/spreadsheets/d/1XL5vhW3sbDhbH9Cz0tuDiY8C3ctxq1tqvaCgkFb8cCA/edit?usp=sharing"",""อุบลราชธานี!I470"")"),0)</f>
        <v>0</v>
      </c>
      <c r="J575" s="199">
        <f ca="1">IFERROR(__xludf.DUMMYFUNCTION("IMPORTRANGE(""https://docs.google.com/spreadsheets/d/1XL5vhW3sbDhbH9Cz0tuDiY8C3ctxq1tqvaCgkFb8cCA/edit?usp=sharing"",""อุบลราชธานี!J470"")"),1)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IFERROR(__xludf.DUMMYFUNCTION("IMPORTRANGE(""https://docs.google.com/spreadsheets/d/1XL5vhW3sbDhbH9Cz0tuDiY8C3ctxq1tqvaCgkFb8cCA/edit?usp=sharing"",""อุบลราชธานี!I471"")"),0)</f>
        <v>0</v>
      </c>
      <c r="J576" s="199">
        <f ca="1">IFERROR(__xludf.DUMMYFUNCTION("IMPORTRANGE(""https://docs.google.com/spreadsheets/d/1XL5vhW3sbDhbH9Cz0tuDiY8C3ctxq1tqvaCgkFb8cCA/edit?usp=sharing"",""อุบลราชธานี!J471"")"),212)</f>
        <v>212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IFERROR(__xludf.DUMMYFUNCTION("IMPORTRANGE(""https://docs.google.com/spreadsheets/d/1XL5vhW3sbDhbH9Cz0tuDiY8C3ctxq1tqvaCgkFb8cCA/edit?usp=sharing"",""อุบลราชธานี!I472"")"),0)</f>
        <v>0</v>
      </c>
      <c r="J577" s="190">
        <f ca="1">IFERROR(__xludf.DUMMYFUNCTION("IMPORTRANGE(""https://docs.google.com/spreadsheets/d/1XL5vhW3sbDhbH9Cz0tuDiY8C3ctxq1tqvaCgkFb8cCA/edit?usp=sharing"",""อุบลราชธานี!J472"")"),5014)</f>
        <v>5014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IFERROR(__xludf.DUMMYFUNCTION("IMPORTRANGE(""https://docs.google.com/spreadsheets/d/1XL5vhW3sbDhbH9Cz0tuDiY8C3ctxq1tqvaCgkFb8cCA/edit?usp=sharing"",""อุบลราชธานี!I473"")"),0)</f>
        <v>0</v>
      </c>
      <c r="J578" s="199">
        <f ca="1">IFERROR(__xludf.DUMMYFUNCTION("IMPORTRANGE(""https://docs.google.com/spreadsheets/d/1XL5vhW3sbDhbH9Cz0tuDiY8C3ctxq1tqvaCgkFb8cCA/edit?usp=sharing"",""อุบลราชธานี!J473"")"),4)</f>
        <v>4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IFERROR(__xludf.DUMMYFUNCTION("IMPORTRANGE(""https://docs.google.com/spreadsheets/d/1XL5vhW3sbDhbH9Cz0tuDiY8C3ctxq1tqvaCgkFb8cCA/edit?usp=sharing"",""อุบลราชธานี!I474"")"),0)</f>
        <v>0</v>
      </c>
      <c r="J579" s="199">
        <f ca="1">IFERROR(__xludf.DUMMYFUNCTION("IMPORTRANGE(""https://docs.google.com/spreadsheets/d/1XL5vhW3sbDhbH9Cz0tuDiY8C3ctxq1tqvaCgkFb8cCA/edit?usp=sharing"",""อุบลราชธานี!J474"")"),73)</f>
        <v>73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IFERROR(__xludf.DUMMYFUNCTION("IMPORTRANGE(""https://docs.google.com/spreadsheets/d/1XL5vhW3sbDhbH9Cz0tuDiY8C3ctxq1tqvaCgkFb8cCA/edit?usp=sharing"",""อุบลราชธานี!J475"")"),11)</f>
        <v>11</v>
      </c>
      <c r="K580" s="372">
        <f ca="1">IF(I580&gt;0,J580*100/I580,0)</f>
        <v>11</v>
      </c>
      <c r="L580" s="373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IFERROR(__xludf.DUMMYFUNCTION("IMPORTRANGE(""https://docs.google.com/spreadsheets/d/1XL5vhW3sbDhbH9Cz0tuDiY8C3ctxq1tqvaCgkFb8cCA/edit?usp=sharing"",""อุบลราชธานี!M475"")"),89338)</f>
        <v>89338</v>
      </c>
      <c r="O580" s="373">
        <f t="shared" ref="O580:O584" ca="1" si="124">+IF(L580&gt;0,N580*100/L580,0)</f>
        <v>25.664464234415398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IFERROR(__xludf.DUMMYFUNCTION("IMPORTRANGE(""https://docs.google.com/spreadsheets/d/1XL5vhW3sbDhbH9Cz0tuDiY8C3ctxq1tqvaCgkFb8cCA/edit?usp=sharing"",""อุบลราชธานี!L476"")"),0)</f>
        <v>0</v>
      </c>
      <c r="M581" s="166"/>
      <c r="N581" s="170">
        <f ca="1">IFERROR(__xludf.DUMMYFUNCTION("IMPORTRANGE(""https://docs.google.com/spreadsheets/d/1XL5vhW3sbDhbH9Cz0tuDiY8C3ctxq1tqvaCgkFb8cCA/edit?usp=sharing"",""อุบลราชธานี!M476"")"),0)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7"/>
      <c r="N582" s="170">
        <f ca="1">IFERROR(__xludf.DUMMYFUNCTION("IMPORTRANGE(""https://docs.google.com/spreadsheets/d/1XL5vhW3sbDhbH9Cz0tuDiY8C3ctxq1tqvaCgkFb8cCA/edit?usp=sharing"",""อุบลราชธานี!M477"")"),89338)</f>
        <v>89338</v>
      </c>
      <c r="O582" s="170">
        <f t="shared" ca="1" si="124"/>
        <v>25.664464234415398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IFERROR(__xludf.DUMMYFUNCTION("IMPORTRANGE(""https://docs.google.com/spreadsheets/d/1XL5vhW3sbDhbH9Cz0tuDiY8C3ctxq1tqvaCgkFb8cCA/edit?usp=sharing"",""อุบลราชธานี!L478"")"),0)</f>
        <v>0</v>
      </c>
      <c r="M583" s="170"/>
      <c r="N583" s="170">
        <f ca="1">IFERROR(__xludf.DUMMYFUNCTION("IMPORTRANGE(""https://docs.google.com/spreadsheets/d/1XL5vhW3sbDhbH9Cz0tuDiY8C3ctxq1tqvaCgkFb8cCA/edit?usp=sharing"",""อุบลราชธานี!M478"")"),0)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70"/>
      <c r="N584" s="170">
        <f ca="1">IFERROR(__xludf.DUMMYFUNCTION("IMPORTRANGE(""https://docs.google.com/spreadsheets/d/1XL5vhW3sbDhbH9Cz0tuDiY8C3ctxq1tqvaCgkFb8cCA/edit?usp=sharing"",""อุบลราชธานี!M479"")"),89338)</f>
        <v>89338</v>
      </c>
      <c r="O584" s="170">
        <f t="shared" ca="1" si="124"/>
        <v>25.664464234415398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IFERROR(__xludf.DUMMYFUNCTION("IMPORTRANGE(""https://docs.google.com/spreadsheets/d/1XL5vhW3sbDhbH9Cz0tuDiY8C3ctxq1tqvaCgkFb8cCA/edit?usp=sharing"",""อุบลราชธานี!M480"")"),0)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IFERROR(__xludf.DUMMYFUNCTION("IMPORTRANGE(""https://docs.google.com/spreadsheets/d/1XL5vhW3sbDhbH9Cz0tuDiY8C3ctxq1tqvaCgkFb8cCA/edit?usp=sharing"",""อุบลราชธานี!M481"")"),0)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IFERROR(__xludf.DUMMYFUNCTION("IMPORTRANGE(""https://docs.google.com/spreadsheets/d/1XL5vhW3sbDhbH9Cz0tuDiY8C3ctxq1tqvaCgkFb8cCA/edit?usp=sharing"",""อุบลราชธานี!M482"")"),53568)</f>
        <v>53568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IFERROR(__xludf.DUMMYFUNCTION("IMPORTRANGE(""https://docs.google.com/spreadsheets/d/1XL5vhW3sbDhbH9Cz0tuDiY8C3ctxq1tqvaCgkFb8cCA/edit?usp=sharing"",""อุบลราชธานี!M483"")"),35770)</f>
        <v>35770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IFERROR(__xludf.DUMMYFUNCTION("IMPORTRANGE(""https://docs.google.com/spreadsheets/d/1XL5vhW3sbDhbH9Cz0tuDiY8C3ctxq1tqvaCgkFb8cCA/edit?usp=sharing"",""อุบลราชธานี!I484"")"),100)</f>
        <v>100</v>
      </c>
      <c r="J589" s="189">
        <f ca="1">IFERROR(__xludf.DUMMYFUNCTION("IMPORTRANGE(""https://docs.google.com/spreadsheets/d/1XL5vhW3sbDhbH9Cz0tuDiY8C3ctxq1tqvaCgkFb8cCA/edit?usp=sharing"",""อุบลราชธานี!J484"")"),11)</f>
        <v>11</v>
      </c>
      <c r="K589" s="165">
        <f t="shared" ref="K589:K596" ca="1" si="125">IF(I589&gt;0,J589*100/I589,0)</f>
        <v>11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9">
        <f ca="1">IFERROR(__xludf.DUMMYFUNCTION("IMPORTRANGE(""https://docs.google.com/spreadsheets/d/1XL5vhW3sbDhbH9Cz0tuDiY8C3ctxq1tqvaCgkFb8cCA/edit?usp=sharing"",""อุบลราชธานี!J485"")"),5.22)</f>
        <v>5.22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IFERROR(__xludf.DUMMYFUNCTION("IMPORTRANGE(""https://docs.google.com/spreadsheets/d/1XL5vhW3sbDhbH9Cz0tuDiY8C3ctxq1tqvaCgkFb8cCA/edit?usp=sharing"",""อุบลราชธานี!I486"")"),100)</f>
        <v>100</v>
      </c>
      <c r="J591" s="189">
        <f ca="1">IFERROR(__xludf.DUMMYFUNCTION("IMPORTRANGE(""https://docs.google.com/spreadsheets/d/1XL5vhW3sbDhbH9Cz0tuDiY8C3ctxq1tqvaCgkFb8cCA/edit?usp=sharing"",""อุบลราชธานี!J486"")"),5)</f>
        <v>5</v>
      </c>
      <c r="K591" s="165">
        <f t="shared" ca="1" si="125"/>
        <v>5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9">
        <f ca="1">IFERROR(__xludf.DUMMYFUNCTION("IMPORTRANGE(""https://docs.google.com/spreadsheets/d/1XL5vhW3sbDhbH9Cz0tuDiY8C3ctxq1tqvaCgkFb8cCA/edit?usp=sharing"",""อุบลราชธานี!J487"")"),2.48)</f>
        <v>2.48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IFERROR(__xludf.DUMMYFUNCTION("IMPORTRANGE(""https://docs.google.com/spreadsheets/d/1XL5vhW3sbDhbH9Cz0tuDiY8C3ctxq1tqvaCgkFb8cCA/edit?usp=sharing"",""อุบลราชธานี!I488"")"),100)</f>
        <v>100</v>
      </c>
      <c r="J593" s="189">
        <f ca="1">IFERROR(__xludf.DUMMYFUNCTION("IMPORTRANGE(""https://docs.google.com/spreadsheets/d/1XL5vhW3sbDhbH9Cz0tuDiY8C3ctxq1tqvaCgkFb8cCA/edit?usp=sharing"",""อุบลราชธานี!J488"")"),0)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9">
        <f ca="1">IFERROR(__xludf.DUMMYFUNCTION("IMPORTRANGE(""https://docs.google.com/spreadsheets/d/1XL5vhW3sbDhbH9Cz0tuDiY8C3ctxq1tqvaCgkFb8cCA/edit?usp=sharing"",""อุบลราชธานี!J489"")"),0)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IFERROR(__xludf.DUMMYFUNCTION("IMPORTRANGE(""https://docs.google.com/spreadsheets/d/1XL5vhW3sbDhbH9Cz0tuDiY8C3ctxq1tqvaCgkFb8cCA/edit?usp=sharing"",""อุบลราชธานี!I490"")"),100)</f>
        <v>100</v>
      </c>
      <c r="J595" s="189">
        <f ca="1">IFERROR(__xludf.DUMMYFUNCTION("IMPORTRANGE(""https://docs.google.com/spreadsheets/d/1XL5vhW3sbDhbH9Cz0tuDiY8C3ctxq1tqvaCgkFb8cCA/edit?usp=sharing"",""อุบลราชธานี!J490"")"),11)</f>
        <v>11</v>
      </c>
      <c r="K595" s="165">
        <f t="shared" ca="1" si="125"/>
        <v>11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IFERROR(__xludf.DUMMYFUNCTION("IMPORTRANGE(""https://docs.google.com/spreadsheets/d/1XL5vhW3sbDhbH9Cz0tuDiY8C3ctxq1tqvaCgkFb8cCA/edit?usp=sharing"",""อุบลราชธานี!J491"")"),4.12)</f>
        <v>4.12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7">
        <f ca="1">IFERROR(__xludf.DUMMYFUNCTION("IMPORTRANGE(""https://docs.google.com/spreadsheets/d/1XL5vhW3sbDhbH9Cz0tuDiY8C3ctxq1tqvaCgkFb8cCA/edit?usp=sharing"",""อุบลราชธานี!J492"")"),0)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IFERROR(__xludf.DUMMYFUNCTION("IMPORTRANGE(""https://docs.google.com/spreadsheets/d/1XL5vhW3sbDhbH9Cz0tuDiY8C3ctxq1tqvaCgkFb8cCA/edit?usp=sharing"",""อุบลราชธานี!M492"")"),720)</f>
        <v>720</v>
      </c>
      <c r="O597" s="412">
        <f t="shared" ref="O597:O601" ca="1" si="126">+IF(L597&gt;0,N597*100/L597,0)</f>
        <v>15.824175824175825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IFERROR(__xludf.DUMMYFUNCTION("IMPORTRANGE(""https://docs.google.com/spreadsheets/d/1XL5vhW3sbDhbH9Cz0tuDiY8C3ctxq1tqvaCgkFb8cCA/edit?usp=sharing"",""อุบลราชธานี!L493"")"),0)</f>
        <v>0</v>
      </c>
      <c r="M598" s="166"/>
      <c r="N598" s="170">
        <f ca="1">IFERROR(__xludf.DUMMYFUNCTION("IMPORTRANGE(""https://docs.google.com/spreadsheets/d/1XL5vhW3sbDhbH9Cz0tuDiY8C3ctxq1tqvaCgkFb8cCA/edit?usp=sharing"",""อุบลราชธานี!M493"")"),0)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IFERROR(__xludf.DUMMYFUNCTION("IMPORTRANGE(""https://docs.google.com/spreadsheets/d/1XL5vhW3sbDhbH9Cz0tuDiY8C3ctxq1tqvaCgkFb8cCA/edit?usp=sharing"",""อุบลราชธานี!L494"")"),4550)</f>
        <v>4550</v>
      </c>
      <c r="M599" s="167"/>
      <c r="N599" s="170">
        <f ca="1">IFERROR(__xludf.DUMMYFUNCTION("IMPORTRANGE(""https://docs.google.com/spreadsheets/d/1XL5vhW3sbDhbH9Cz0tuDiY8C3ctxq1tqvaCgkFb8cCA/edit?usp=sharing"",""อุบลราชธานี!M494"")"),720)</f>
        <v>720</v>
      </c>
      <c r="O599" s="170">
        <f t="shared" ca="1" si="126"/>
        <v>15.824175824175825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IFERROR(__xludf.DUMMYFUNCTION("IMPORTRANGE(""https://docs.google.com/spreadsheets/d/1XL5vhW3sbDhbH9Cz0tuDiY8C3ctxq1tqvaCgkFb8cCA/edit?usp=sharing"",""อุบลราชธานี!L495"")"),0)</f>
        <v>0</v>
      </c>
      <c r="M600" s="170"/>
      <c r="N600" s="170">
        <f ca="1">IFERROR(__xludf.DUMMYFUNCTION("IMPORTRANGE(""https://docs.google.com/spreadsheets/d/1XL5vhW3sbDhbH9Cz0tuDiY8C3ctxq1tqvaCgkFb8cCA/edit?usp=sharing"",""อุบลราชธานี!M495"")"),0)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IFERROR(__xludf.DUMMYFUNCTION("IMPORTRANGE(""https://docs.google.com/spreadsheets/d/1XL5vhW3sbDhbH9Cz0tuDiY8C3ctxq1tqvaCgkFb8cCA/edit?usp=sharing"",""อุบลราชธานี!L496"")"),4550)</f>
        <v>4550</v>
      </c>
      <c r="M601" s="170"/>
      <c r="N601" s="170">
        <f ca="1">IFERROR(__xludf.DUMMYFUNCTION("IMPORTRANGE(""https://docs.google.com/spreadsheets/d/1XL5vhW3sbDhbH9Cz0tuDiY8C3ctxq1tqvaCgkFb8cCA/edit?usp=sharing"",""อุบลราชธานี!M496"")"),720)</f>
        <v>720</v>
      </c>
      <c r="O601" s="170">
        <f t="shared" ca="1" si="126"/>
        <v>15.824175824175825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IFERROR(__xludf.DUMMYFUNCTION("IMPORTRANGE(""https://docs.google.com/spreadsheets/d/1XL5vhW3sbDhbH9Cz0tuDiY8C3ctxq1tqvaCgkFb8cCA/edit?usp=sharing"",""อุบลราชธานี!M497"")"),0)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IFERROR(__xludf.DUMMYFUNCTION("IMPORTRANGE(""https://docs.google.com/spreadsheets/d/1XL5vhW3sbDhbH9Cz0tuDiY8C3ctxq1tqvaCgkFb8cCA/edit?usp=sharing"",""อุบลราชธานี!M498"")"),0)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IFERROR(__xludf.DUMMYFUNCTION("IMPORTRANGE(""https://docs.google.com/spreadsheets/d/1XL5vhW3sbDhbH9Cz0tuDiY8C3ctxq1tqvaCgkFb8cCA/edit?usp=sharing"",""อุบลราชธานี!M500"")"),720)</f>
        <v>720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IFERROR(__xludf.DUMMYFUNCTION("IMPORTRANGE(""https://docs.google.com/spreadsheets/d/1XL5vhW3sbDhbH9Cz0tuDiY8C3ctxq1tqvaCgkFb8cCA/edit?usp=sharing"",""อุบลราชธานี!J502"")"),0)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IFERROR(__xludf.DUMMYFUNCTION("IMPORTRANGE(""https://docs.google.com/spreadsheets/d/1XL5vhW3sbDhbH9Cz0tuDiY8C3ctxq1tqvaCgkFb8cCA/edit?usp=sharing"",""อุบลราชธานี!J503"")"),1)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IFERROR(__xludf.DUMMYFUNCTION("IMPORTRANGE(""https://docs.google.com/spreadsheets/d/1XL5vhW3sbDhbH9Cz0tuDiY8C3ctxq1tqvaCgkFb8cCA/edit?usp=sharing"",""อุบลราชธานี!I506"")"),50)</f>
        <v>50</v>
      </c>
      <c r="J611" s="164">
        <f ca="1">IFERROR(__xludf.DUMMYFUNCTION("IMPORTRANGE(""https://docs.google.com/spreadsheets/d/1XL5vhW3sbDhbH9Cz0tuDiY8C3ctxq1tqvaCgkFb8cCA/edit?usp=sharing"",""อุบลราชธานี!J506"")"),0)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IFERROR(__xludf.DUMMYFUNCTION("IMPORTRANGE(""https://docs.google.com/spreadsheets/d/1XL5vhW3sbDhbH9Cz0tuDiY8C3ctxq1tqvaCgkFb8cCA/edit?usp=sharing"",""อุบลราชธานี!I507"")"),0)</f>
        <v>0</v>
      </c>
      <c r="J612" s="199">
        <f ca="1">IFERROR(__xludf.DUMMYFUNCTION("IMPORTRANGE(""https://docs.google.com/spreadsheets/d/1XL5vhW3sbDhbH9Cz0tuDiY8C3ctxq1tqvaCgkFb8cCA/edit?usp=sharing"",""อุบลราชธานี!J507"")"),96)</f>
        <v>96</v>
      </c>
      <c r="K612" s="165">
        <f t="shared" ca="1" si="127"/>
        <v>192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IFERROR(__xludf.DUMMYFUNCTION("IMPORTRANGE(""https://docs.google.com/spreadsheets/d/1XL5vhW3sbDhbH9Cz0tuDiY8C3ctxq1tqvaCgkFb8cCA/edit?usp=sharing"",""อุบลราชธานี!I508"")"),0)</f>
        <v>0</v>
      </c>
      <c r="J613" s="199">
        <f ca="1">IFERROR(__xludf.DUMMYFUNCTION("IMPORTRANGE(""https://docs.google.com/spreadsheets/d/1XL5vhW3sbDhbH9Cz0tuDiY8C3ctxq1tqvaCgkFb8cCA/edit?usp=sharing"",""อุบลราชธานี!J508"")"),96)</f>
        <v>96</v>
      </c>
      <c r="K613" s="165">
        <f t="shared" ca="1" si="127"/>
        <v>192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IFERROR(__xludf.DUMMYFUNCTION("IMPORTRANGE(""https://docs.google.com/spreadsheets/d/1XL5vhW3sbDhbH9Cz0tuDiY8C3ctxq1tqvaCgkFb8cCA/edit?usp=sharing"",""อุบลราชธานี!I509"")"),0)</f>
        <v>0</v>
      </c>
      <c r="J614" s="199">
        <f ca="1">IFERROR(__xludf.DUMMYFUNCTION("IMPORTRANGE(""https://docs.google.com/spreadsheets/d/1XL5vhW3sbDhbH9Cz0tuDiY8C3ctxq1tqvaCgkFb8cCA/edit?usp=sharing"",""อุบลราชธานี!J509"")"),96)</f>
        <v>96</v>
      </c>
      <c r="K614" s="165">
        <f t="shared" ca="1" si="127"/>
        <v>192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IFERROR(__xludf.DUMMYFUNCTION("IMPORTRANGE(""https://docs.google.com/spreadsheets/d/1XL5vhW3sbDhbH9Cz0tuDiY8C3ctxq1tqvaCgkFb8cCA/edit?usp=sharing"",""อุบลราชธานี!I510"")"),0)</f>
        <v>0</v>
      </c>
      <c r="J615" s="199">
        <f ca="1">IFERROR(__xludf.DUMMYFUNCTION("IMPORTRANGE(""https://docs.google.com/spreadsheets/d/1XL5vhW3sbDhbH9Cz0tuDiY8C3ctxq1tqvaCgkFb8cCA/edit?usp=sharing"",""อุบลราชธานี!J510"")"),0)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IFERROR(__xludf.DUMMYFUNCTION("IMPORTRANGE(""https://docs.google.com/spreadsheets/d/1XL5vhW3sbDhbH9Cz0tuDiY8C3ctxq1tqvaCgkFb8cCA/edit?usp=sharing"",""อุบลราชธานี!I511"")"),0)</f>
        <v>0</v>
      </c>
      <c r="J616" s="199">
        <f ca="1">IFERROR(__xludf.DUMMYFUNCTION("IMPORTRANGE(""https://docs.google.com/spreadsheets/d/1XL5vhW3sbDhbH9Cz0tuDiY8C3ctxq1tqvaCgkFb8cCA/edit?usp=sharing"",""อุบลราชธานี!J511"")"),0)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IFERROR(__xludf.DUMMYFUNCTION("IMPORTRANGE(""https://docs.google.com/spreadsheets/d/1XL5vhW3sbDhbH9Cz0tuDiY8C3ctxq1tqvaCgkFb8cCA/edit?usp=sharing"",""อุบลราชธานี!I512"")"),0)</f>
        <v>0</v>
      </c>
      <c r="J617" s="189">
        <f ca="1">IFERROR(__xludf.DUMMYFUNCTION("IMPORTRANGE(""https://docs.google.com/spreadsheets/d/1XL5vhW3sbDhbH9Cz0tuDiY8C3ctxq1tqvaCgkFb8cCA/edit?usp=sharing"",""อุบลราชธานี!J512"")"),0)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IFERROR(__xludf.DUMMYFUNCTION("IMPORTRANGE(""https://docs.google.com/spreadsheets/d/1XL5vhW3sbDhbH9Cz0tuDiY8C3ctxq1tqvaCgkFb8cCA/edit?usp=sharing"",""อุบลราชธานี!I513"")"),0)</f>
        <v>0</v>
      </c>
      <c r="J618" s="190">
        <f ca="1">IFERROR(__xludf.DUMMYFUNCTION("IMPORTRANGE(""https://docs.google.com/spreadsheets/d/1XL5vhW3sbDhbH9Cz0tuDiY8C3ctxq1tqvaCgkFb8cCA/edit?usp=sharing"",""อุบลราชธานี!J513"")"),0)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IFERROR(__xludf.DUMMYFUNCTION("IMPORTRANGE(""https://docs.google.com/spreadsheets/d/1XL5vhW3sbDhbH9Cz0tuDiY8C3ctxq1tqvaCgkFb8cCA/edit?usp=sharing"",""อุบลราชธานี!I514"")"),0)</f>
        <v>0</v>
      </c>
      <c r="J619" s="190">
        <f ca="1">IFERROR(__xludf.DUMMYFUNCTION("IMPORTRANGE(""https://docs.google.com/spreadsheets/d/1XL5vhW3sbDhbH9Cz0tuDiY8C3ctxq1tqvaCgkFb8cCA/edit?usp=sharing"",""อุบลราชธานี!J514"")"),0)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IFERROR(__xludf.DUMMYFUNCTION("IMPORTRANGE(""https://docs.google.com/spreadsheets/d/1XL5vhW3sbDhbH9Cz0tuDiY8C3ctxq1tqvaCgkFb8cCA/edit?usp=sharing"",""อุบลราชธานี!I515"")"),0)</f>
        <v>0</v>
      </c>
      <c r="J620" s="204">
        <f ca="1">IFERROR(__xludf.DUMMYFUNCTION("IMPORTRANGE(""https://docs.google.com/spreadsheets/d/1XL5vhW3sbDhbH9Cz0tuDiY8C3ctxq1tqvaCgkFb8cCA/edit?usp=sharing"",""อุบลราชธานี!J515"")"),0)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IFERROR(__xludf.DUMMYFUNCTION("IMPORTRANGE(""https://docs.google.com/spreadsheets/d/1XL5vhW3sbDhbH9Cz0tuDiY8C3ctxq1tqvaCgkFb8cCA/edit?usp=sharing"",""อุบลราชธานี!I516"")"),0)</f>
        <v>0</v>
      </c>
      <c r="J621" s="204">
        <f ca="1">IFERROR(__xludf.DUMMYFUNCTION("IMPORTRANGE(""https://docs.google.com/spreadsheets/d/1XL5vhW3sbDhbH9Cz0tuDiY8C3ctxq1tqvaCgkFb8cCA/edit?usp=sharing"",""อุบลราชธานี!J516"")"),0)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IFERROR(__xludf.DUMMYFUNCTION("IMPORTRANGE(""https://docs.google.com/spreadsheets/d/1XL5vhW3sbDhbH9Cz0tuDiY8C3ctxq1tqvaCgkFb8cCA/edit?usp=sharing"",""อุบลราชธานี!I517"")"),0)</f>
        <v>0</v>
      </c>
      <c r="J622" s="190">
        <f ca="1">IFERROR(__xludf.DUMMYFUNCTION("IMPORTRANGE(""https://docs.google.com/spreadsheets/d/1XL5vhW3sbDhbH9Cz0tuDiY8C3ctxq1tqvaCgkFb8cCA/edit?usp=sharing"",""อุบลราชธานี!J517"")"),0)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IFERROR(__xludf.DUMMYFUNCTION("IMPORTRANGE(""https://docs.google.com/spreadsheets/d/1XL5vhW3sbDhbH9Cz0tuDiY8C3ctxq1tqvaCgkFb8cCA/edit?usp=sharing"",""อุบลราชธานี!I518"")"),0)</f>
        <v>0</v>
      </c>
      <c r="J623" s="190">
        <f ca="1">IFERROR(__xludf.DUMMYFUNCTION("IMPORTRANGE(""https://docs.google.com/spreadsheets/d/1XL5vhW3sbDhbH9Cz0tuDiY8C3ctxq1tqvaCgkFb8cCA/edit?usp=sharing"",""อุบลราชธานี!J518"")"),0)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IFERROR(__xludf.DUMMYFUNCTION("IMPORTRANGE(""https://docs.google.com/spreadsheets/d/1XL5vhW3sbDhbH9Cz0tuDiY8C3ctxq1tqvaCgkFb8cCA/edit?usp=sharing"",""อุบลราชธานี!I519"")"),0)</f>
        <v>0</v>
      </c>
      <c r="J624" s="189">
        <f ca="1">IFERROR(__xludf.DUMMYFUNCTION("IMPORTRANGE(""https://docs.google.com/spreadsheets/d/1XL5vhW3sbDhbH9Cz0tuDiY8C3ctxq1tqvaCgkFb8cCA/edit?usp=sharing"",""อุบลราชธานี!J519"")"),0)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IFERROR(__xludf.DUMMYFUNCTION("IMPORTRANGE(""https://docs.google.com/spreadsheets/d/1XL5vhW3sbDhbH9Cz0tuDiY8C3ctxq1tqvaCgkFb8cCA/edit?usp=sharing"",""อุบลราชธานี!I520"")"),0)</f>
        <v>0</v>
      </c>
      <c r="J625" s="190">
        <f ca="1">IFERROR(__xludf.DUMMYFUNCTION("IMPORTRANGE(""https://docs.google.com/spreadsheets/d/1XL5vhW3sbDhbH9Cz0tuDiY8C3ctxq1tqvaCgkFb8cCA/edit?usp=sharing"",""อุบลราชธานี!J520"")"),0)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IFERROR(__xludf.DUMMYFUNCTION("IMPORTRANGE(""https://docs.google.com/spreadsheets/d/1XL5vhW3sbDhbH9Cz0tuDiY8C3ctxq1tqvaCgkFb8cCA/edit?usp=sharing"",""อุบลราชธานี!I521"")"),0)</f>
        <v>0</v>
      </c>
      <c r="J626" s="190">
        <f ca="1">IFERROR(__xludf.DUMMYFUNCTION("IMPORTRANGE(""https://docs.google.com/spreadsheets/d/1XL5vhW3sbDhbH9Cz0tuDiY8C3ctxq1tqvaCgkFb8cCA/edit?usp=sharing"",""อุบลราชธานี!J521"")"),0)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1">
        <f ca="1">IFERROR(__xludf.DUMMYFUNCTION("IMPORTRANGE(""https://docs.google.com/spreadsheets/d/1XL5vhW3sbDhbH9Cz0tuDiY8C3ctxq1tqvaCgkFb8cCA/edit?usp=sharing"",""อุบลราชธานี!J523"")"),4712229.86)</f>
        <v>4712229.8600000003</v>
      </c>
      <c r="K628" s="342">
        <f t="shared" ref="K628:K635" ca="1" si="129">IF(I628&gt;0,J628*100/I628,0)</f>
        <v>88.979652141161893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IFERROR(__xludf.DUMMYFUNCTION("IMPORTRANGE(""https://docs.google.com/spreadsheets/d/1XL5vhW3sbDhbH9Cz0tuDiY8C3ctxq1tqvaCgkFb8cCA/edit?usp=sharing"",""อุบลราชธานี!I524"")"),285)</f>
        <v>285</v>
      </c>
      <c r="J629" s="341">
        <f ca="1">IFERROR(__xludf.DUMMYFUNCTION("IMPORTRANGE(""https://docs.google.com/spreadsheets/d/1XL5vhW3sbDhbH9Cz0tuDiY8C3ctxq1tqvaCgkFb8cCA/edit?usp=sharing"",""อุบลราชธานี!J524"")"),210)</f>
        <v>210</v>
      </c>
      <c r="K629" s="342">
        <f t="shared" ca="1" si="129"/>
        <v>73.684210526315795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1">
        <f ca="1">IFERROR(__xludf.DUMMYFUNCTION("IMPORTRANGE(""https://docs.google.com/spreadsheets/d/1XL5vhW3sbDhbH9Cz0tuDiY8C3ctxq1tqvaCgkFb8cCA/edit?usp=sharing"",""อุบลราชธานี!J525"")"),385172.5)</f>
        <v>385172.5</v>
      </c>
      <c r="K630" s="342">
        <f t="shared" ca="1" si="129"/>
        <v>8.6988782824431183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IFERROR(__xludf.DUMMYFUNCTION("IMPORTRANGE(""https://docs.google.com/spreadsheets/d/1XL5vhW3sbDhbH9Cz0tuDiY8C3ctxq1tqvaCgkFb8cCA/edit?usp=sharing"",""อุบลราชธานี!I526"")"),261)</f>
        <v>261</v>
      </c>
      <c r="J631" s="341">
        <f ca="1">IFERROR(__xludf.DUMMYFUNCTION("IMPORTRANGE(""https://docs.google.com/spreadsheets/d/1XL5vhW3sbDhbH9Cz0tuDiY8C3ctxq1tqvaCgkFb8cCA/edit?usp=sharing"",""อุบลราชธานี!J526"")"),75)</f>
        <v>75</v>
      </c>
      <c r="K631" s="342">
        <f t="shared" ca="1" si="129"/>
        <v>28.735632183908045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1">
        <f ca="1">IFERROR(__xludf.DUMMYFUNCTION("IMPORTRANGE(""https://docs.google.com/spreadsheets/d/1XL5vhW3sbDhbH9Cz0tuDiY8C3ctxq1tqvaCgkFb8cCA/edit?usp=sharing"",""อุบลราชธานี!J527"")"),264892.99)</f>
        <v>264892.99</v>
      </c>
      <c r="K632" s="342">
        <f t="shared" ca="1" si="129"/>
        <v>78.823712573702792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IFERROR(__xludf.DUMMYFUNCTION("IMPORTRANGE(""https://docs.google.com/spreadsheets/d/1XL5vhW3sbDhbH9Cz0tuDiY8C3ctxq1tqvaCgkFb8cCA/edit?usp=sharing"",""อุบลราชธานี!I528"")"),165)</f>
        <v>165</v>
      </c>
      <c r="J633" s="341">
        <f ca="1">IFERROR(__xludf.DUMMYFUNCTION("IMPORTRANGE(""https://docs.google.com/spreadsheets/d/1XL5vhW3sbDhbH9Cz0tuDiY8C3ctxq1tqvaCgkFb8cCA/edit?usp=sharing"",""อุบลราชธานี!J528"")"),18)</f>
        <v>18</v>
      </c>
      <c r="K633" s="342">
        <f t="shared" ca="1" si="129"/>
        <v>10.909090909090908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1">
        <f ca="1">IFERROR(__xludf.DUMMYFUNCTION("IMPORTRANGE(""https://docs.google.com/spreadsheets/d/1XL5vhW3sbDhbH9Cz0tuDiY8C3ctxq1tqvaCgkFb8cCA/edit?usp=sharing"",""อุบลราชธานี!J529"")"),2000000)</f>
        <v>2000000</v>
      </c>
      <c r="K634" s="342">
        <f t="shared" ca="1" si="129"/>
        <v>25.873221216041397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IFERROR(__xludf.DUMMYFUNCTION("IMPORTRANGE(""https://docs.google.com/spreadsheets/d/1XL5vhW3sbDhbH9Cz0tuDiY8C3ctxq1tqvaCgkFb8cCA/edit?usp=sharing"",""อุบลราชธานี!I530"")"),189)</f>
        <v>189</v>
      </c>
      <c r="J635" s="504">
        <f ca="1">IFERROR(__xludf.DUMMYFUNCTION("IMPORTRANGE(""https://docs.google.com/spreadsheets/d/1XL5vhW3sbDhbH9Cz0tuDiY8C3ctxq1tqvaCgkFb8cCA/edit?usp=sharing"",""อุบลราชธานี!J530"")"),47)</f>
        <v>47</v>
      </c>
      <c r="K635" s="486">
        <f t="shared" ca="1" si="129"/>
        <v>24.867724867724867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" bestFit="1" customWidth="1"/>
    <col min="12" max="12" width="17.85546875" bestFit="1" customWidth="1"/>
    <col min="13" max="14" width="17.85546875" customWidth="1"/>
    <col min="15" max="15" width="18.7109375" customWidth="1"/>
    <col min="16" max="16" width="20.42578125" bestFit="1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240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6968271</v>
      </c>
      <c r="M8" s="23">
        <f t="shared" ca="1" si="0"/>
        <v>2390852</v>
      </c>
      <c r="N8" s="23">
        <f t="shared" ca="1" si="0"/>
        <v>2711605.77</v>
      </c>
      <c r="O8" s="22">
        <f t="shared" ref="O8:O16" ca="1" si="1">IF(L8&gt;0,N8*100/L8,0)</f>
        <v>38.913609559674128</v>
      </c>
      <c r="P8" s="22">
        <f t="shared" ref="P8:P16" ca="1" si="2">IF(M8&gt;0,N8*100/M8,0)</f>
        <v>113.41587726885646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6968271</v>
      </c>
      <c r="M10" s="30">
        <f t="shared" ca="1" si="4"/>
        <v>2390852</v>
      </c>
      <c r="N10" s="30">
        <f t="shared" ca="1" si="4"/>
        <v>2711605.77</v>
      </c>
      <c r="O10" s="29">
        <f t="shared" ca="1" si="1"/>
        <v>38.913609559674128</v>
      </c>
      <c r="P10" s="29">
        <f t="shared" ca="1" si="2"/>
        <v>113.41587726885646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6718871</v>
      </c>
      <c r="M12" s="38">
        <f t="shared" ca="1" si="6"/>
        <v>2141452</v>
      </c>
      <c r="N12" s="38">
        <f t="shared" ca="1" si="6"/>
        <v>2462205.77</v>
      </c>
      <c r="O12" s="38">
        <f t="shared" ca="1" si="1"/>
        <v>36.646123582369718</v>
      </c>
      <c r="P12" s="38">
        <f t="shared" ca="1" si="2"/>
        <v>114.97833105761885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4133371</v>
      </c>
      <c r="M14" s="38">
        <f t="shared" si="8"/>
        <v>0</v>
      </c>
      <c r="N14" s="38">
        <f t="shared" ca="1" si="8"/>
        <v>655923.77</v>
      </c>
      <c r="O14" s="38">
        <f t="shared" ca="1" si="1"/>
        <v>15.868978855273335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4233350</v>
      </c>
      <c r="M18" s="23">
        <f t="shared" ca="1" si="11"/>
        <v>2390852</v>
      </c>
      <c r="N18" s="23">
        <f t="shared" ca="1" si="11"/>
        <v>2055682</v>
      </c>
      <c r="O18" s="22">
        <f t="shared" ref="O18:O20" ca="1" si="12">IF(L18&gt;0,N18*100/L18,0)</f>
        <v>48.559226144778961</v>
      </c>
      <c r="P18" s="22">
        <f t="shared" ref="P18:P26" ca="1" si="13">IF(M18&gt;0,N18*100/M18,0)</f>
        <v>85.981148143005086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4233350</v>
      </c>
      <c r="M20" s="30">
        <f t="shared" ca="1" si="15"/>
        <v>2390852</v>
      </c>
      <c r="N20" s="30">
        <f t="shared" ca="1" si="15"/>
        <v>2055682</v>
      </c>
      <c r="O20" s="29">
        <f t="shared" ca="1" si="12"/>
        <v>48.559226144778961</v>
      </c>
      <c r="P20" s="29">
        <f t="shared" ca="1" si="13"/>
        <v>85.981148143005086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3983950</v>
      </c>
      <c r="M22" s="41">
        <f t="shared" ca="1" si="18"/>
        <v>2141452</v>
      </c>
      <c r="N22" s="38">
        <f t="shared" ca="1" si="18"/>
        <v>1806282</v>
      </c>
      <c r="O22" s="38">
        <f t="shared" ca="1" si="17"/>
        <v>45.338972627668518</v>
      </c>
      <c r="P22" s="38">
        <f t="shared" ca="1" si="13"/>
        <v>84.348470103462517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1398450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2734921</v>
      </c>
      <c r="M28" s="23">
        <f t="shared" si="23"/>
        <v>0</v>
      </c>
      <c r="N28" s="23">
        <f t="shared" ca="1" si="23"/>
        <v>655923.77</v>
      </c>
      <c r="O28" s="22">
        <f t="shared" ref="O28:O30" ca="1" si="24">IF(L28&gt;0,N28*100/L28,0)</f>
        <v>23.983280321442557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2734921</v>
      </c>
      <c r="M30" s="30">
        <f t="shared" si="27"/>
        <v>0</v>
      </c>
      <c r="N30" s="30">
        <f t="shared" ca="1" si="27"/>
        <v>655923.77</v>
      </c>
      <c r="O30" s="29">
        <f t="shared" ca="1" si="24"/>
        <v>23.983280321442557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2734921</v>
      </c>
      <c r="M32" s="38">
        <f t="shared" si="30"/>
        <v>0</v>
      </c>
      <c r="N32" s="38">
        <f t="shared" ca="1" si="30"/>
        <v>655923.77</v>
      </c>
      <c r="O32" s="38">
        <f t="shared" ca="1" si="29"/>
        <v>23.983280321442557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2734921</v>
      </c>
      <c r="M34" s="38">
        <f t="shared" si="32"/>
        <v>0</v>
      </c>
      <c r="N34" s="38">
        <f t="shared" ca="1" si="32"/>
        <v>655923.77</v>
      </c>
      <c r="O34" s="38">
        <f t="shared" ca="1" si="29"/>
        <v>23.983280321442557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4233350</v>
      </c>
      <c r="M37" s="54">
        <f t="shared" ca="1" si="33"/>
        <v>2390852</v>
      </c>
      <c r="N37" s="54">
        <f t="shared" ca="1" si="33"/>
        <v>2055682</v>
      </c>
      <c r="O37" s="55">
        <f t="shared" ca="1" si="29"/>
        <v>48.559226144778961</v>
      </c>
      <c r="P37" s="55">
        <f t="shared" ca="1" si="25"/>
        <v>85.981148143005086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444300</v>
      </c>
      <c r="N41" s="78">
        <f t="shared" ca="1" si="34"/>
        <v>382407</v>
      </c>
      <c r="O41" s="77">
        <f t="shared" ref="O41:O43" ca="1" si="35">IF(L41&gt;0,N41*100/L41,0)</f>
        <v>43.025090009000898</v>
      </c>
      <c r="P41" s="77">
        <f t="shared" ref="P41:P43" ca="1" si="36">IF(M41&gt;0,N41*100/M41,0)</f>
        <v>86.069547602970971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444300</v>
      </c>
      <c r="N43" s="78">
        <f t="shared" ca="1" si="38"/>
        <v>382407</v>
      </c>
      <c r="O43" s="77">
        <f t="shared" ca="1" si="35"/>
        <v>43.025090009000898</v>
      </c>
      <c r="P43" s="77">
        <f t="shared" ca="1" si="36"/>
        <v>86.069547602970971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IFERROR(__xludf.DUMMYFUNCTION("IMPORTRANGE(""https://docs.google.com/spreadsheets/d/1Yj_ptqi66GCucihVvJfMjLAmec39IyEx_6qawtMGysU/edit?usp=sharing"",""สบก!Q39"")"),444300)</f>
        <v>444300</v>
      </c>
      <c r="N45" s="49">
        <f ca="1">IFERROR(__xludf.DUMMYFUNCTION("IMPORTRANGE(""https://docs.google.com/spreadsheets/d/1Yj_ptqi66GCucihVvJfMjLAmec39IyEx_6qawtMGysU/edit?usp=sharing"",""สบก!R39"")"),382407)</f>
        <v>382407</v>
      </c>
      <c r="O45" s="38">
        <f ca="1">IF(L45&gt;0,N45*100/L45,0)</f>
        <v>43.025090009000898</v>
      </c>
      <c r="P45" s="38">
        <f ca="1">IF(M45&gt;0,N45*100/M45,0)</f>
        <v>86.069547602970971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372042</v>
      </c>
      <c r="N53" s="121">
        <f t="shared" ca="1" si="39"/>
        <v>371459</v>
      </c>
      <c r="O53" s="120">
        <f t="shared" ref="O53:O55" ca="1" si="40">IF(L53&gt;0,N53*100/L53,0)</f>
        <v>51.165151515151514</v>
      </c>
      <c r="P53" s="120">
        <f t="shared" ref="P53:P55" ca="1" si="41">IF(M53&gt;0,N53*100/M53,0)</f>
        <v>99.843297262137071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372042</v>
      </c>
      <c r="N55" s="121">
        <f t="shared" ca="1" si="43"/>
        <v>371459</v>
      </c>
      <c r="O55" s="120">
        <f t="shared" ca="1" si="40"/>
        <v>51.165151515151514</v>
      </c>
      <c r="P55" s="120">
        <f t="shared" ca="1" si="41"/>
        <v>99.843297262137071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IFERROR(__xludf.DUMMYFUNCTION("IMPORTRANGE(""https://docs.google.com/spreadsheets/d/1Yj_ptqi66GCucihVvJfMjLAmec39IyEx_6qawtMGysU/edit?usp=sharing"",""สบก!Z39"")"),372042)</f>
        <v>372042</v>
      </c>
      <c r="N57" s="49">
        <f ca="1">IFERROR(__xludf.DUMMYFUNCTION("IMPORTRANGE(""https://docs.google.com/spreadsheets/d/1Yj_ptqi66GCucihVvJfMjLAmec39IyEx_6qawtMGysU/edit?usp=sharing"",""สบก!AA39"")"),371459)</f>
        <v>371459</v>
      </c>
      <c r="O57" s="38">
        <f ca="1">IF(L57&gt;0,N57*100/L57,0)</f>
        <v>51.165151515151514</v>
      </c>
      <c r="P57" s="38">
        <f ca="1">IF(M57&gt;0,N57*100/M57,0)</f>
        <v>99.843297262137071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632820</v>
      </c>
      <c r="N66" s="152">
        <f t="shared" ca="1" si="45"/>
        <v>531053</v>
      </c>
      <c r="O66" s="151">
        <f t="shared" ref="O66:O68" ca="1" si="46">IF(L66&gt;0,N66*100/L66,0)</f>
        <v>50.465931768507083</v>
      </c>
      <c r="P66" s="151">
        <f t="shared" ref="P66:P68" ca="1" si="47">IF(M66&gt;0,N66*100/M66,0)</f>
        <v>83.91849183022029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632820</v>
      </c>
      <c r="N68" s="157">
        <f t="shared" ca="1" si="49"/>
        <v>531053</v>
      </c>
      <c r="O68" s="156">
        <f t="shared" ca="1" si="46"/>
        <v>50.465931768507083</v>
      </c>
      <c r="P68" s="156">
        <f t="shared" ca="1" si="47"/>
        <v>83.91849183022029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912300</v>
      </c>
      <c r="M70" s="169">
        <f ca="1">IFERROR(__xludf.DUMMYFUNCTION("IMPORTRANGE(""https://docs.google.com/spreadsheets/d/1Yj_ptqi66GCucihVvJfMjLAmec39IyEx_6qawtMGysU/edit?usp=sharing"",""สบก!AI39"")"),492820)</f>
        <v>492820</v>
      </c>
      <c r="N70" s="170">
        <f ca="1">IFERROR(__xludf.DUMMYFUNCTION("IMPORTRANGE(""https://docs.google.com/spreadsheets/d/1Yj_ptqi66GCucihVvJfMjLAmec39IyEx_6qawtMGysU/edit?usp=sharing"",""สบก!AJ39"")"),391053)</f>
        <v>391053</v>
      </c>
      <c r="O70" s="170">
        <f ca="1">IF(L70&gt;0,N70*100/L70,0)</f>
        <v>42.864518250575472</v>
      </c>
      <c r="P70" s="170">
        <f ca="1">IF(M70&gt;0,N70*100/M70,0)</f>
        <v>79.350066961568118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IFERROR(__xludf.DUMMYFUNCTION("IMPORTRANGE(""https://docs.google.com/spreadsheets/d/1Yj_ptqi66GCucihVvJfMjLAmec39IyEx_6qawtMGysU/edit?usp=sharing"",""สบก!AE39"")"),470300)</f>
        <v>470300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IFERROR(__xludf.DUMMYFUNCTION("IMPORTRANGE(""https://docs.google.com/spreadsheets/d/1Yj_ptqi66GCucihVvJfMjLAmec39IyEx_6qawtMGysU/edit?usp=sharing"",""สบก!AF39"")"),442000)</f>
        <v>442000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IFERROR(__xludf.DUMMYFUNCTION("IMPORTRANGE(""https://docs.google.com/spreadsheets/d/1XL5vhW3sbDhbH9Cz0tuDiY8C3ctxq1tqvaCgkFb8cCA/edit?usp=sharing"",""ขอนแก่น!J16"")"),0)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IFERROR(__xludf.DUMMYFUNCTION("IMPORTRANGE(""https://docs.google.com/spreadsheets/d/1XL5vhW3sbDhbH9Cz0tuDiY8C3ctxq1tqvaCgkFb8cCA/edit?usp=sharing"",""ขอนแก่น!J17"")"),1)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IFERROR(__xludf.DUMMYFUNCTION("IMPORTRANGE(""https://docs.google.com/spreadsheets/d/1XL5vhW3sbDhbH9Cz0tuDiY8C3ctxq1tqvaCgkFb8cCA/edit?usp=sharing"",""ขอนแก่น!J18"")"),1)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IFERROR(__xludf.DUMMYFUNCTION("IMPORTRANGE(""https://docs.google.com/spreadsheets/d/1XL5vhW3sbDhbH9Cz0tuDiY8C3ctxq1tqvaCgkFb8cCA/edit?usp=sharing"",""ขอนแก่น!J19"")"),1)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IFERROR(__xludf.DUMMYFUNCTION("IMPORTRANGE(""https://docs.google.com/spreadsheets/d/1XL5vhW3sbDhbH9Cz0tuDiY8C3ctxq1tqvaCgkFb8cCA/edit?usp=sharing"",""ขอนแก่น!I20"")"),1)</f>
        <v>1</v>
      </c>
      <c r="J80" s="202">
        <f ca="1">IFERROR(__xludf.DUMMYFUNCTION("IMPORTRANGE(""https://docs.google.com/spreadsheets/d/1XL5vhW3sbDhbH9Cz0tuDiY8C3ctxq1tqvaCgkFb8cCA/edit?usp=sharing"",""ขอนแก่น!J20"")"),1)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IFERROR(__xludf.DUMMYFUNCTION("IMPORTRANGE(""https://docs.google.com/spreadsheets/d/1XL5vhW3sbDhbH9Cz0tuDiY8C3ctxq1tqvaCgkFb8cCA/edit?usp=sharing"",""ขอนแก่น!I21"")"),30)</f>
        <v>30</v>
      </c>
      <c r="J81" s="202">
        <f ca="1">IFERROR(__xludf.DUMMYFUNCTION("IMPORTRANGE(""https://docs.google.com/spreadsheets/d/1XL5vhW3sbDhbH9Cz0tuDiY8C3ctxq1tqvaCgkFb8cCA/edit?usp=sharing"",""ขอนแก่น!J21"")"),30)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IFERROR(__xludf.DUMMYFUNCTION("IMPORTRANGE(""https://docs.google.com/spreadsheets/d/1XL5vhW3sbDhbH9Cz0tuDiY8C3ctxq1tqvaCgkFb8cCA/edit?usp=sharing"",""ขอนแก่น!I22"")"),1)</f>
        <v>1</v>
      </c>
      <c r="J82" s="205">
        <f ca="1">IFERROR(__xludf.DUMMYFUNCTION("IMPORTRANGE(""https://docs.google.com/spreadsheets/d/1XL5vhW3sbDhbH9Cz0tuDiY8C3ctxq1tqvaCgkFb8cCA/edit?usp=sharing"",""ขอนแก่น!J22"")"),1)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IFERROR(__xludf.DUMMYFUNCTION("IMPORTRANGE(""https://docs.google.com/spreadsheets/d/1XL5vhW3sbDhbH9Cz0tuDiY8C3ctxq1tqvaCgkFb8cCA/edit?usp=sharing"",""ขอนแก่น!I23"")"),30)</f>
        <v>30</v>
      </c>
      <c r="J83" s="205">
        <f ca="1">IFERROR(__xludf.DUMMYFUNCTION("IMPORTRANGE(""https://docs.google.com/spreadsheets/d/1XL5vhW3sbDhbH9Cz0tuDiY8C3ctxq1tqvaCgkFb8cCA/edit?usp=sharing"",""ขอนแก่น!J23"")"),30)</f>
        <v>30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IFERROR(__xludf.DUMMYFUNCTION("IMPORTRANGE(""https://docs.google.com/spreadsheets/d/1XL5vhW3sbDhbH9Cz0tuDiY8C3ctxq1tqvaCgkFb8cCA/edit?usp=sharing"",""ขอนแก่น!I24"")"),0)</f>
        <v>0</v>
      </c>
      <c r="J84" s="190">
        <f ca="1">IFERROR(__xludf.DUMMYFUNCTION("IMPORTRANGE(""https://docs.google.com/spreadsheets/d/1XL5vhW3sbDhbH9Cz0tuDiY8C3ctxq1tqvaCgkFb8cCA/edit?usp=sharing"",""ขอนแก่น!J24"")"),0)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IFERROR(__xludf.DUMMYFUNCTION("IMPORTRANGE(""https://docs.google.com/spreadsheets/d/1XL5vhW3sbDhbH9Cz0tuDiY8C3ctxq1tqvaCgkFb8cCA/edit?usp=sharing"",""ขอนแก่น!I25"")"),0)</f>
        <v>0</v>
      </c>
      <c r="J85" s="190">
        <f ca="1">IFERROR(__xludf.DUMMYFUNCTION("IMPORTRANGE(""https://docs.google.com/spreadsheets/d/1XL5vhW3sbDhbH9Cz0tuDiY8C3ctxq1tqvaCgkFb8cCA/edit?usp=sharing"",""ขอนแก่น!J25"")"),0)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IFERROR(__xludf.DUMMYFUNCTION("IMPORTRANGE(""https://docs.google.com/spreadsheets/d/1XL5vhW3sbDhbH9Cz0tuDiY8C3ctxq1tqvaCgkFb8cCA/edit?usp=sharing"",""ขอนแก่น!I26"")"),0)</f>
        <v>0</v>
      </c>
      <c r="J86" s="205">
        <f ca="1">IFERROR(__xludf.DUMMYFUNCTION("IMPORTRANGE(""https://docs.google.com/spreadsheets/d/1XL5vhW3sbDhbH9Cz0tuDiY8C3ctxq1tqvaCgkFb8cCA/edit?usp=sharing"",""ขอนแก่น!J26"")"),0)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IFERROR(__xludf.DUMMYFUNCTION("IMPORTRANGE(""https://docs.google.com/spreadsheets/d/1XL5vhW3sbDhbH9Cz0tuDiY8C3ctxq1tqvaCgkFb8cCA/edit?usp=sharing"",""ขอนแก่น!I27"")"),0)</f>
        <v>0</v>
      </c>
      <c r="J87" s="205">
        <f ca="1">IFERROR(__xludf.DUMMYFUNCTION("IMPORTRANGE(""https://docs.google.com/spreadsheets/d/1XL5vhW3sbDhbH9Cz0tuDiY8C3ctxq1tqvaCgkFb8cCA/edit?usp=sharing"",""ขอนแก่น!J27"")"),0)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IFERROR(__xludf.DUMMYFUNCTION("IMPORTRANGE(""https://docs.google.com/spreadsheets/d/1XL5vhW3sbDhbH9Cz0tuDiY8C3ctxq1tqvaCgkFb8cCA/edit?usp=sharing"",""ขอนแก่น!I28"")"),30)</f>
        <v>30</v>
      </c>
      <c r="J88" s="205">
        <f ca="1">IFERROR(__xludf.DUMMYFUNCTION("IMPORTRANGE(""https://docs.google.com/spreadsheets/d/1XL5vhW3sbDhbH9Cz0tuDiY8C3ctxq1tqvaCgkFb8cCA/edit?usp=sharing"",""ขอนแก่น!J28"")"),30)</f>
        <v>30</v>
      </c>
      <c r="K88" s="165">
        <f t="shared" ca="1" si="50"/>
        <v>100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IFERROR(__xludf.DUMMYFUNCTION("IMPORTRANGE(""https://docs.google.com/spreadsheets/d/1XL5vhW3sbDhbH9Cz0tuDiY8C3ctxq1tqvaCgkFb8cCA/edit?usp=sharing"",""ขอนแก่น!J29"")"),0)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97020</v>
      </c>
      <c r="O94" s="151">
        <f t="shared" ref="O94:O96" ca="1" si="53">IF(L94&gt;0,N94*100/L94,0)</f>
        <v>45.230769230769234</v>
      </c>
      <c r="P94" s="151">
        <f t="shared" ref="P94:P96" ca="1" si="54">IF(M94&gt;0,N94*100/M94,0)</f>
        <v>60.212250977471605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97020</v>
      </c>
      <c r="O96" s="156">
        <f t="shared" ca="1" si="53"/>
        <v>45.230769230769234</v>
      </c>
      <c r="P96" s="156">
        <f t="shared" ca="1" si="54"/>
        <v>60.212250977471605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IFERROR(__xludf.DUMMYFUNCTION("IMPORTRANGE(""https://docs.google.com/spreadsheets/d/1Yj_ptqi66GCucihVvJfMjLAmec39IyEx_6qawtMGysU/edit?usp=sharing"",""สบก!AR39"")"),68730)</f>
        <v>68730</v>
      </c>
      <c r="N98" s="170">
        <f ca="1">IFERROR(__xludf.DUMMYFUNCTION("IMPORTRANGE(""https://docs.google.com/spreadsheets/d/1Yj_ptqi66GCucihVvJfMjLAmec39IyEx_6qawtMGysU/edit?usp=sharing"",""สบก!AS39"")"),4620)</f>
        <v>4620</v>
      </c>
      <c r="O98" s="170">
        <f ca="1">IF(L98&gt;0,N98*100/L98,0)</f>
        <v>3.7837837837837838</v>
      </c>
      <c r="P98" s="170">
        <f ca="1">IF(M98&gt;0,N98*100/M98,0)</f>
        <v>6.7219554779572235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IFERROR(__xludf.DUMMYFUNCTION("IMPORTRANGE(""https://docs.google.com/spreadsheets/d/1Yj_ptqi66GCucihVvJfMjLAmec39IyEx_6qawtMGysU/edit?usp=sharing"",""สบก!AN39"")"),0)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IFERROR(__xludf.DUMMYFUNCTION("IMPORTRANGE(""https://docs.google.com/spreadsheets/d/1Yj_ptqi66GCucihVvJfMjLAmec39IyEx_6qawtMGysU/edit?usp=sharing"",""สบก!AO39"")"),122100)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IFERROR(__xludf.DUMMYFUNCTION("IMPORTRANGE(""https://docs.google.com/spreadsheets/d/1XL5vhW3sbDhbH9Cz0tuDiY8C3ctxq1tqvaCgkFb8cCA/edit?usp=sharing"",""ขอนแก่น!I43"")"),1)</f>
        <v>1</v>
      </c>
      <c r="J108" s="205">
        <f ca="1">IFERROR(__xludf.DUMMYFUNCTION("IMPORTRANGE(""https://docs.google.com/spreadsheets/d/1XL5vhW3sbDhbH9Cz0tuDiY8C3ctxq1tqvaCgkFb8cCA/edit?usp=sharing"",""ขอนแก่น!J43"")"),0)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IFERROR(__xludf.DUMMYFUNCTION("IMPORTRANGE(""https://docs.google.com/spreadsheets/d/1XL5vhW3sbDhbH9Cz0tuDiY8C3ctxq1tqvaCgkFb8cCA/edit?usp=sharing"",""ขอนแก่น!I44"")"),4)</f>
        <v>4</v>
      </c>
      <c r="J109" s="205">
        <f ca="1">IFERROR(__xludf.DUMMYFUNCTION("IMPORTRANGE(""https://docs.google.com/spreadsheets/d/1XL5vhW3sbDhbH9Cz0tuDiY8C3ctxq1tqvaCgkFb8cCA/edit?usp=sharing"",""ขอนแก่น!J44"")"),0)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IFERROR(__xludf.DUMMYFUNCTION("IMPORTRANGE(""https://docs.google.com/spreadsheets/d/1XL5vhW3sbDhbH9Cz0tuDiY8C3ctxq1tqvaCgkFb8cCA/edit?usp=sharing"",""ขอนแก่น!I45"")"),4)</f>
        <v>4</v>
      </c>
      <c r="J110" s="205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IFERROR(__xludf.DUMMYFUNCTION("IMPORTRANGE(""https://docs.google.com/spreadsheets/d/1XL5vhW3sbDhbH9Cz0tuDiY8C3ctxq1tqvaCgkFb8cCA/edit?usp=sharing"",""ขอนแก่น!I46"")"),4)</f>
        <v>4</v>
      </c>
      <c r="J111" s="205">
        <f ca="1">IFERROR(__xludf.DUMMYFUNCTION("IMPORTRANGE(""https://docs.google.com/spreadsheets/d/1XL5vhW3sbDhbH9Cz0tuDiY8C3ctxq1tqvaCgkFb8cCA/edit?usp=sharing"",""ขอนแก่น!J46"")"),0)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IFERROR(__xludf.DUMMYFUNCTION("IMPORTRANGE(""https://docs.google.com/spreadsheets/d/1XL5vhW3sbDhbH9Cz0tuDiY8C3ctxq1tqvaCgkFb8cCA/edit?usp=sharing"",""ขอนแก่น!I47"")"),4)</f>
        <v>4</v>
      </c>
      <c r="J112" s="205">
        <f ca="1">IFERROR(__xludf.DUMMYFUNCTION("IMPORTRANGE(""https://docs.google.com/spreadsheets/d/1XL5vhW3sbDhbH9Cz0tuDiY8C3ctxq1tqvaCgkFb8cCA/edit?usp=sharing"",""ขอนแก่น!J47"")"),0)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IFERROR(__xludf.DUMMYFUNCTION("IMPORTRANGE(""https://docs.google.com/spreadsheets/d/1XL5vhW3sbDhbH9Cz0tuDiY8C3ctxq1tqvaCgkFb8cCA/edit?usp=sharing"",""ขอนแก่น!I48"")"),1)</f>
        <v>1</v>
      </c>
      <c r="J113" s="205">
        <f ca="1">IFERROR(__xludf.DUMMYFUNCTION("IMPORTRANGE(""https://docs.google.com/spreadsheets/d/1XL5vhW3sbDhbH9Cz0tuDiY8C3ctxq1tqvaCgkFb8cCA/edit?usp=sharing"",""ขอนแก่น!J48"")"),0)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IFERROR(__xludf.DUMMYFUNCTION("IMPORTRANGE(""https://docs.google.com/spreadsheets/d/1Yj_ptqi66GCucihVvJfMjLAmec39IyEx_6qawtMGysU/edit?usp=sharing"",""สบก!BA39"")"),0)</f>
        <v>0</v>
      </c>
      <c r="N122" s="170">
        <f ca="1">IFERROR(__xludf.DUMMYFUNCTION("IMPORTRANGE(""https://docs.google.com/spreadsheets/d/1Yj_ptqi66GCucihVvJfMjLAmec39IyEx_6qawtMGysU/edit?usp=sharing"",""สบก!BB39"")"),0)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IFERROR(__xludf.DUMMYFUNCTION("IMPORTRANGE(""https://docs.google.com/spreadsheets/d/1Yj_ptqi66GCucihVvJfMjLAmec39IyEx_6qawtMGysU/edit?usp=sharing"",""สบก!AW39"")"),0)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IFERROR(__xludf.DUMMYFUNCTION("IMPORTRANGE(""https://docs.google.com/spreadsheets/d/1Yj_ptqi66GCucihVvJfMjLAmec39IyEx_6qawtMGysU/edit?usp=sharing"",""สบก!AX39"")"),0)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IFERROR(__xludf.DUMMYFUNCTION("IMPORTRANGE(""https://docs.google.com/spreadsheets/d/1XL5vhW3sbDhbH9Cz0tuDiY8C3ctxq1tqvaCgkFb8cCA/edit?usp=sharing"",""ขอนแก่น!I62"")"),0)</f>
        <v>0</v>
      </c>
      <c r="J132" s="205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IFERROR(__xludf.DUMMYFUNCTION("IMPORTRANGE(""https://docs.google.com/spreadsheets/d/1XL5vhW3sbDhbH9Cz0tuDiY8C3ctxq1tqvaCgkFb8cCA/edit?usp=sharing"",""ขอนแก่น!I63"")"),0)</f>
        <v>0</v>
      </c>
      <c r="J133" s="205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69000</v>
      </c>
      <c r="M140" s="152">
        <f t="shared" ca="1" si="64"/>
        <v>53750</v>
      </c>
      <c r="N140" s="152">
        <f t="shared" ca="1" si="64"/>
        <v>2360</v>
      </c>
      <c r="O140" s="151">
        <f t="shared" ref="O140:O142" ca="1" si="65">IF(L140&gt;0,N140*100/L140,0)</f>
        <v>3.4202898550724639</v>
      </c>
      <c r="P140" s="151">
        <f t="shared" ref="P140:P142" ca="1" si="66">IF(M140&gt;0,N140*100/M140,0)</f>
        <v>4.3906976744186048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69000</v>
      </c>
      <c r="M142" s="157">
        <f t="shared" ca="1" si="68"/>
        <v>53750</v>
      </c>
      <c r="N142" s="157">
        <f t="shared" ca="1" si="68"/>
        <v>2360</v>
      </c>
      <c r="O142" s="156">
        <f t="shared" ca="1" si="65"/>
        <v>3.4202898550724639</v>
      </c>
      <c r="P142" s="156">
        <f t="shared" ca="1" si="66"/>
        <v>4.3906976744186048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69000</v>
      </c>
      <c r="M144" s="169">
        <f ca="1">IFERROR(__xludf.DUMMYFUNCTION("IMPORTRANGE(""https://docs.google.com/spreadsheets/d/1Yj_ptqi66GCucihVvJfMjLAmec39IyEx_6qawtMGysU/edit?usp=sharing"",""สบก!BJ39"")"),53750)</f>
        <v>53750</v>
      </c>
      <c r="N144" s="170">
        <f ca="1">IFERROR(__xludf.DUMMYFUNCTION("IMPORTRANGE(""https://docs.google.com/spreadsheets/d/1Yj_ptqi66GCucihVvJfMjLAmec39IyEx_6qawtMGysU/edit?usp=sharing"",""สบก!BK39"")"),2360)</f>
        <v>2360</v>
      </c>
      <c r="O144" s="170">
        <f ca="1">IF(L144&gt;0,N144*100/L144,0)</f>
        <v>3.4202898550724639</v>
      </c>
      <c r="P144" s="170">
        <f ca="1">IF(M144&gt;0,N144*100/M144,0)</f>
        <v>4.3906976744186048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IFERROR(__xludf.DUMMYFUNCTION("IMPORTRANGE(""https://docs.google.com/spreadsheets/d/1Yj_ptqi66GCucihVvJfMjLAmec39IyEx_6qawtMGysU/edit?usp=sharing"",""สบก!BF39"")"),0)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IFERROR(__xludf.DUMMYFUNCTION("IMPORTRANGE(""https://docs.google.com/spreadsheets/d/1Yj_ptqi66GCucihVvJfMjLAmec39IyEx_6qawtMGysU/edit?usp=sharing"",""สบก!BG39"")"),69000)</f>
        <v>69000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IFERROR(__xludf.DUMMYFUNCTION("IMPORTRANGE(""https://docs.google.com/spreadsheets/d/1XL5vhW3sbDhbH9Cz0tuDiY8C3ctxq1tqvaCgkFb8cCA/edit?usp=sharing"",""ขอนแก่น!J79"")"),0)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IFERROR(__xludf.DUMMYFUNCTION("IMPORTRANGE(""https://docs.google.com/spreadsheets/d/1XL5vhW3sbDhbH9Cz0tuDiY8C3ctxq1tqvaCgkFb8cCA/edit?usp=sharing"",""ขอนแก่น!J80"")"),1)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IFERROR(__xludf.DUMMYFUNCTION("IMPORTRANGE(""https://docs.google.com/spreadsheets/d/1XL5vhW3sbDhbH9Cz0tuDiY8C3ctxq1tqvaCgkFb8cCA/edit?usp=sharing"",""ขอนแก่น!J81"")"),0)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IFERROR(__xludf.DUMMYFUNCTION("IMPORTRANGE(""https://docs.google.com/spreadsheets/d/1XL5vhW3sbDhbH9Cz0tuDiY8C3ctxq1tqvaCgkFb8cCA/edit?usp=sharing"",""ขอนแก่น!J82"")"),0)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IFERROR(__xludf.DUMMYFUNCTION("IMPORTRANGE(""https://docs.google.com/spreadsheets/d/1XL5vhW3sbDhbH9Cz0tuDiY8C3ctxq1tqvaCgkFb8cCA/edit?usp=sharing"",""ขอนแก่น!I83"")"),4)</f>
        <v>4</v>
      </c>
      <c r="J158" s="190">
        <f ca="1">IFERROR(__xludf.DUMMYFUNCTION("IMPORTRANGE(""https://docs.google.com/spreadsheets/d/1XL5vhW3sbDhbH9Cz0tuDiY8C3ctxq1tqvaCgkFb8cCA/edit?usp=sharing"",""ขอนแก่น!J83"")"),1)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IFERROR(__xludf.DUMMYFUNCTION("IMPORTRANGE(""https://docs.google.com/spreadsheets/d/1XL5vhW3sbDhbH9Cz0tuDiY8C3ctxq1tqvaCgkFb8cCA/edit?usp=sharing"",""ขอนแก่น!J84"")"),0)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IFERROR(__xludf.DUMMYFUNCTION("IMPORTRANGE(""https://docs.google.com/spreadsheets/d/1XL5vhW3sbDhbH9Cz0tuDiY8C3ctxq1tqvaCgkFb8cCA/edit?usp=sharing"",""ขอนแก่น!J85"")"),0)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IFERROR(__xludf.DUMMYFUNCTION("IMPORTRANGE(""https://docs.google.com/spreadsheets/d/1XL5vhW3sbDhbH9Cz0tuDiY8C3ctxq1tqvaCgkFb8cCA/edit?usp=sharing"",""ขอนแก่น!J86"")"),0)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IFERROR(__xludf.DUMMYFUNCTION("IMPORTRANGE(""https://docs.google.com/spreadsheets/d/1XL5vhW3sbDhbH9Cz0tuDiY8C3ctxq1tqvaCgkFb8cCA/edit?usp=sharing"",""ขอนแก่น!J87"")"),0)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IFERROR(__xludf.DUMMYFUNCTION("IMPORTRANGE(""https://docs.google.com/spreadsheets/d/1XL5vhW3sbDhbH9Cz0tuDiY8C3ctxq1tqvaCgkFb8cCA/edit?usp=sharing"",""ขอนแก่น!I89"")"),3)</f>
        <v>3</v>
      </c>
      <c r="J164" s="284">
        <f ca="1">IFERROR(__xludf.DUMMYFUNCTION("IMPORTRANGE(""https://docs.google.com/spreadsheets/d/1XL5vhW3sbDhbH9Cz0tuDiY8C3ctxq1tqvaCgkFb8cCA/edit?usp=sharing"",""ขอนแก่น!J89"")"),0)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IFERROR(__xludf.DUMMYFUNCTION("IMPORTRANGE(""https://docs.google.com/spreadsheets/d/1XL5vhW3sbDhbH9Cz0tuDiY8C3ctxq1tqvaCgkFb8cCA/edit?usp=sharing"",""ขอนแก่น!J94"")"),0)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IFERROR(__xludf.DUMMYFUNCTION("IMPORTRANGE(""https://docs.google.com/spreadsheets/d/1XL5vhW3sbDhbH9Cz0tuDiY8C3ctxq1tqvaCgkFb8cCA/edit?usp=sharing"",""ขอนแก่น!J95"")"),1)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IFERROR(__xludf.DUMMYFUNCTION("IMPORTRANGE(""https://docs.google.com/spreadsheets/d/1XL5vhW3sbDhbH9Cz0tuDiY8C3ctxq1tqvaCgkFb8cCA/edit?usp=sharing"",""ขอนแก่น!J96"")"),1)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IFERROR(__xludf.DUMMYFUNCTION("IMPORTRANGE(""https://docs.google.com/spreadsheets/d/1XL5vhW3sbDhbH9Cz0tuDiY8C3ctxq1tqvaCgkFb8cCA/edit?usp=sharing"",""ขอนแก่น!J97"")"),0)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IFERROR(__xludf.DUMMYFUNCTION("IMPORTRANGE(""https://docs.google.com/spreadsheets/d/1XL5vhW3sbDhbH9Cz0tuDiY8C3ctxq1tqvaCgkFb8cCA/edit?usp=sharing"",""ขอนแก่น!I98"")"),3)</f>
        <v>3</v>
      </c>
      <c r="J173" s="190">
        <f ca="1">IFERROR(__xludf.DUMMYFUNCTION("IMPORTRANGE(""https://docs.google.com/spreadsheets/d/1XL5vhW3sbDhbH9Cz0tuDiY8C3ctxq1tqvaCgkFb8cCA/edit?usp=sharing"",""ขอนแก่น!J98"")"),0)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IFERROR(__xludf.DUMMYFUNCTION("IMPORTRANGE(""https://docs.google.com/spreadsheets/d/1XL5vhW3sbDhbH9Cz0tuDiY8C3ctxq1tqvaCgkFb8cCA/edit?usp=sharing"",""ขอนแก่น!J99"")"),0)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IFERROR(__xludf.DUMMYFUNCTION("IMPORTRANGE(""https://docs.google.com/spreadsheets/d/1XL5vhW3sbDhbH9Cz0tuDiY8C3ctxq1tqvaCgkFb8cCA/edit?usp=sharing"",""ขอนแก่น!I101"")"),0)</f>
        <v>0</v>
      </c>
      <c r="J176" s="284">
        <f ca="1">IFERROR(__xludf.DUMMYFUNCTION("IMPORTRANGE(""https://docs.google.com/spreadsheets/d/1XL5vhW3sbDhbH9Cz0tuDiY8C3ctxq1tqvaCgkFb8cCA/edit?usp=sharing"",""ขอนแก่น!J101"")"),0)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IFERROR(__xludf.DUMMYFUNCTION("IMPORTRANGE(""https://docs.google.com/spreadsheets/d/1XL5vhW3sbDhbH9Cz0tuDiY8C3ctxq1tqvaCgkFb8cCA/edit?usp=sharing"",""ขอนแก่น!I110"")"),0)</f>
        <v>0</v>
      </c>
      <c r="J185" s="205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IFERROR(__xludf.DUMMYFUNCTION("IMPORTRANGE(""https://docs.google.com/spreadsheets/d/1XL5vhW3sbDhbH9Cz0tuDiY8C3ctxq1tqvaCgkFb8cCA/edit?usp=sharing"",""ขอนแก่น!I111"")"),0)</f>
        <v>0</v>
      </c>
      <c r="J186" s="205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IFERROR(__xludf.DUMMYFUNCTION("IMPORTRANGE(""https://docs.google.com/spreadsheets/d/1XL5vhW3sbDhbH9Cz0tuDiY8C3ctxq1tqvaCgkFb8cCA/edit?usp=sharing"",""ขอนแก่น!I114"")"),50000)</f>
        <v>50000</v>
      </c>
      <c r="J189" s="284">
        <f ca="1">IFERROR(__xludf.DUMMYFUNCTION("IMPORTRANGE(""https://docs.google.com/spreadsheets/d/1XL5vhW3sbDhbH9Cz0tuDiY8C3ctxq1tqvaCgkFb8cCA/edit?usp=sharing"",""ขอนแก่น!J114"")"),0)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IFERROR(__xludf.DUMMYFUNCTION("IMPORTRANGE(""https://docs.google.com/spreadsheets/d/1XL5vhW3sbDhbH9Cz0tuDiY8C3ctxq1tqvaCgkFb8cCA/edit?usp=sharing"",""ขอนแก่น!J119"")"),0)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IFERROR(__xludf.DUMMYFUNCTION("IMPORTRANGE(""https://docs.google.com/spreadsheets/d/1XL5vhW3sbDhbH9Cz0tuDiY8C3ctxq1tqvaCgkFb8cCA/edit?usp=sharing"",""ขอนแก่น!J120"")"),1)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IFERROR(__xludf.DUMMYFUNCTION("IMPORTRANGE(""https://docs.google.com/spreadsheets/d/1XL5vhW3sbDhbH9Cz0tuDiY8C3ctxq1tqvaCgkFb8cCA/edit?usp=sharing"",""ขอนแก่น!J121"")"),0)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IFERROR(__xludf.DUMMYFUNCTION("IMPORTRANGE(""https://docs.google.com/spreadsheets/d/1XL5vhW3sbDhbH9Cz0tuDiY8C3ctxq1tqvaCgkFb8cCA/edit?usp=sharing"",""ขอนแก่น!J122"")"),0)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IFERROR(__xludf.DUMMYFUNCTION("IMPORTRANGE(""https://docs.google.com/spreadsheets/d/1XL5vhW3sbDhbH9Cz0tuDiY8C3ctxq1tqvaCgkFb8cCA/edit?usp=sharing"",""ขอนแก่น!I124"")"),50000)</f>
        <v>50000</v>
      </c>
      <c r="J199" s="190">
        <f ca="1">IFERROR(__xludf.DUMMYFUNCTION("IMPORTRANGE(""https://docs.google.com/spreadsheets/d/1XL5vhW3sbDhbH9Cz0tuDiY8C3ctxq1tqvaCgkFb8cCA/edit?usp=sharing"",""ขอนแก่น!J124"")"),0)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IFERROR(__xludf.DUMMYFUNCTION("IMPORTRANGE(""https://docs.google.com/spreadsheets/d/1XL5vhW3sbDhbH9Cz0tuDiY8C3ctxq1tqvaCgkFb8cCA/edit?usp=sharing"",""ขอนแก่น!I125"")"),50000)</f>
        <v>50000</v>
      </c>
      <c r="J200" s="190">
        <f ca="1">IFERROR(__xludf.DUMMYFUNCTION("IMPORTRANGE(""https://docs.google.com/spreadsheets/d/1XL5vhW3sbDhbH9Cz0tuDiY8C3ctxq1tqvaCgkFb8cCA/edit?usp=sharing"",""ขอนแก่น!J125"")"),0)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IFERROR(__xludf.DUMMYFUNCTION("IMPORTRANGE(""https://docs.google.com/spreadsheets/d/1XL5vhW3sbDhbH9Cz0tuDiY8C3ctxq1tqvaCgkFb8cCA/edit?usp=sharing"",""ขอนแก่น!I126"")"),0)</f>
        <v>0</v>
      </c>
      <c r="J201" s="190">
        <f ca="1">IFERROR(__xludf.DUMMYFUNCTION("IMPORTRANGE(""https://docs.google.com/spreadsheets/d/1XL5vhW3sbDhbH9Cz0tuDiY8C3ctxq1tqvaCgkFb8cCA/edit?usp=sharing"",""ขอนแก่น!J126"")"),0)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IFERROR(__xludf.DUMMYFUNCTION("IMPORTRANGE(""https://docs.google.com/spreadsheets/d/1XL5vhW3sbDhbH9Cz0tuDiY8C3ctxq1tqvaCgkFb8cCA/edit?usp=sharing"",""ขอนแก่น!J127"")"),0)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IFERROR(__xludf.DUMMYFUNCTION("IMPORTRANGE(""https://docs.google.com/spreadsheets/d/1XL5vhW3sbDhbH9Cz0tuDiY8C3ctxq1tqvaCgkFb8cCA/edit?usp=sharing"",""ขอนแก่น!J128"")"),0)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IFERROR(__xludf.DUMMYFUNCTION("IMPORTRANGE(""https://docs.google.com/spreadsheets/d/1XL5vhW3sbDhbH9Cz0tuDiY8C3ctxq1tqvaCgkFb8cCA/edit?usp=sharing"",""ขอนแก่น!I129"")"),0)</f>
        <v>0</v>
      </c>
      <c r="J204" s="284">
        <f ca="1">IFERROR(__xludf.DUMMYFUNCTION("IMPORTRANGE(""https://docs.google.com/spreadsheets/d/1XL5vhW3sbDhbH9Cz0tuDiY8C3ctxq1tqvaCgkFb8cCA/edit?usp=sharing"",""ขอนแก่น!J129"")"),0)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IFERROR(__xludf.DUMMYFUNCTION("IMPORTRANGE(""https://docs.google.com/spreadsheets/d/1XL5vhW3sbDhbH9Cz0tuDiY8C3ctxq1tqvaCgkFb8cCA/edit?usp=sharing"",""ขอนแก่น!I138"")"),0)</f>
        <v>0</v>
      </c>
      <c r="J213" s="205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IFERROR(__xludf.DUMMYFUNCTION("IMPORTRANGE(""https://docs.google.com/spreadsheets/d/1XL5vhW3sbDhbH9Cz0tuDiY8C3ctxq1tqvaCgkFb8cCA/edit?usp=sharing"",""ขอนแก่น!I140"")"),0)</f>
        <v>0</v>
      </c>
      <c r="J215" s="205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IFERROR(__xludf.DUMMYFUNCTION("IMPORTRANGE(""https://docs.google.com/spreadsheets/d/1XL5vhW3sbDhbH9Cz0tuDiY8C3ctxq1tqvaCgkFb8cCA/edit?usp=sharing"",""ขอนแก่น!I141"")"),0)</f>
        <v>0</v>
      </c>
      <c r="J216" s="205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16550</v>
      </c>
      <c r="M224" s="169">
        <f ca="1">IFERROR(__xludf.DUMMYFUNCTION("IMPORTRANGE(""https://docs.google.com/spreadsheets/d/1Yj_ptqi66GCucihVvJfMjLAmec39IyEx_6qawtMGysU/edit?usp=sharing"",""สบก!BS39"")"),16550)</f>
        <v>16550</v>
      </c>
      <c r="N224" s="170">
        <f ca="1">IFERROR(__xludf.DUMMYFUNCTION("IMPORTRANGE(""https://docs.google.com/spreadsheets/d/1Yj_ptqi66GCucihVvJfMjLAmec39IyEx_6qawtMGysU/edit?usp=sharing"",""สบก!BT39"")"),16550)</f>
        <v>16550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IFERROR(__xludf.DUMMYFUNCTION("IMPORTRANGE(""https://docs.google.com/spreadsheets/d/1Yj_ptqi66GCucihVvJfMjLAmec39IyEx_6qawtMGysU/edit?usp=sharing"",""สบก!BO39"")"),0)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IFERROR(__xludf.DUMMYFUNCTION("IMPORTRANGE(""https://docs.google.com/spreadsheets/d/1Yj_ptqi66GCucihVvJfMjLAmec39IyEx_6qawtMGysU/edit?usp=sharing"",""สบก!BP39"")"),16550)</f>
        <v>16550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IFERROR(__xludf.DUMMYFUNCTION("IMPORTRANGE(""https://docs.google.com/spreadsheets/d/1XL5vhW3sbDhbH9Cz0tuDiY8C3ctxq1tqvaCgkFb8cCA/edit?usp=sharing"",""ขอนแก่น!J151"")"),0)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IFERROR(__xludf.DUMMYFUNCTION("IMPORTRANGE(""https://docs.google.com/spreadsheets/d/1XL5vhW3sbDhbH9Cz0tuDiY8C3ctxq1tqvaCgkFb8cCA/edit?usp=sharing"",""ขอนแก่น!J152"")"),1)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IFERROR(__xludf.DUMMYFUNCTION("IMPORTRANGE(""https://docs.google.com/spreadsheets/d/1XL5vhW3sbDhbH9Cz0tuDiY8C3ctxq1tqvaCgkFb8cCA/edit?usp=sharing"",""ขอนแก่น!J153"")"),1)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IFERROR(__xludf.DUMMYFUNCTION("IMPORTRANGE(""https://docs.google.com/spreadsheets/d/1XL5vhW3sbDhbH9Cz0tuDiY8C3ctxq1tqvaCgkFb8cCA/edit?usp=sharing"",""ขอนแก่น!J154"")"),1)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IFERROR(__xludf.DUMMYFUNCTION("IMPORTRANGE(""https://docs.google.com/spreadsheets/d/1XL5vhW3sbDhbH9Cz0tuDiY8C3ctxq1tqvaCgkFb8cCA/edit?usp=sharing"",""ขอนแก่น!I155"")"),10)</f>
        <v>10</v>
      </c>
      <c r="J235" s="190">
        <f ca="1">IFERROR(__xludf.DUMMYFUNCTION("IMPORTRANGE(""https://docs.google.com/spreadsheets/d/1XL5vhW3sbDhbH9Cz0tuDiY8C3ctxq1tqvaCgkFb8cCA/edit?usp=sharing"",""ขอนแก่น!J155"")"),10)</f>
        <v>10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IFERROR(__xludf.DUMMYFUNCTION("IMPORTRANGE(""https://docs.google.com/spreadsheets/d/1XL5vhW3sbDhbH9Cz0tuDiY8C3ctxq1tqvaCgkFb8cCA/edit?usp=sharing"",""ขอนแก่น!J156"")"),0)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IFERROR(__xludf.DUMMYFUNCTION("IMPORTRANGE(""https://docs.google.com/spreadsheets/d/1XL5vhW3sbDhbH9Cz0tuDiY8C3ctxq1tqvaCgkFb8cCA/edit?usp=sharing"",""ขอนแก่น!J157"")"),0)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IFERROR(__xludf.DUMMYFUNCTION("IMPORTRANGE(""https://docs.google.com/spreadsheets/d/1XL5vhW3sbDhbH9Cz0tuDiY8C3ctxq1tqvaCgkFb8cCA/edit?usp=sharing"",""ขอนแก่น!J159"")"),"")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IFERROR(__xludf.DUMMYFUNCTION("IMPORTRANGE(""https://docs.google.com/spreadsheets/d/1XL5vhW3sbDhbH9Cz0tuDiY8C3ctxq1tqvaCgkFb8cCA/edit?usp=sharing"",""ขอนแก่น!J161"")"),0)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IFERROR(__xludf.DUMMYFUNCTION("IMPORTRANGE(""https://docs.google.com/spreadsheets/d/1XL5vhW3sbDhbH9Cz0tuDiY8C3ctxq1tqvaCgkFb8cCA/edit?usp=sharing"",""ขอนแก่น!J162"")"),0)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IFERROR(__xludf.DUMMYFUNCTION("IMPORTRANGE(""https://docs.google.com/spreadsheets/d/1XL5vhW3sbDhbH9Cz0tuDiY8C3ctxq1tqvaCgkFb8cCA/edit?usp=sharing"",""ขอนแก่น!J163"")"),0)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IFERROR(__xludf.DUMMYFUNCTION("IMPORTRANGE(""https://docs.google.com/spreadsheets/d/1XL5vhW3sbDhbH9Cz0tuDiY8C3ctxq1tqvaCgkFb8cCA/edit?usp=sharing"",""ขอนแก่น!I164"")"),0)</f>
        <v>0</v>
      </c>
      <c r="J244" s="189">
        <f ca="1">IFERROR(__xludf.DUMMYFUNCTION("IMPORTRANGE(""https://docs.google.com/spreadsheets/d/1XL5vhW3sbDhbH9Cz0tuDiY8C3ctxq1tqvaCgkFb8cCA/edit?usp=sharing"",""ขอนแก่น!J164"")"),0)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IFERROR(__xludf.DUMMYFUNCTION("IMPORTRANGE(""https://docs.google.com/spreadsheets/d/1XL5vhW3sbDhbH9Cz0tuDiY8C3ctxq1tqvaCgkFb8cCA/edit?usp=sharing"",""ขอนแก่น!J165"")"),0)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IFERROR(__xludf.DUMMYFUNCTION("IMPORTRANGE(""https://docs.google.com/spreadsheets/d/1XL5vhW3sbDhbH9Cz0tuDiY8C3ctxq1tqvaCgkFb8cCA/edit?usp=sharing"",""ขอนแก่น!I169"")"),0)</f>
        <v>0</v>
      </c>
      <c r="J249" s="316">
        <f ca="1">IFERROR(__xludf.DUMMYFUNCTION("IMPORTRANGE(""https://docs.google.com/spreadsheets/d/1XL5vhW3sbDhbH9Cz0tuDiY8C3ctxq1tqvaCgkFb8cCA/edit?usp=sharing"",""ขอนแก่น!J169"")"),0)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IFERROR(__xludf.DUMMYFUNCTION("IMPORTRANGE(""https://docs.google.com/spreadsheets/d/1Yj_ptqi66GCucihVvJfMjLAmec39IyEx_6qawtMGysU/edit?usp=sharing"",""สบก!CB39"")"),0)</f>
        <v>0</v>
      </c>
      <c r="N254" s="170">
        <f ca="1">IFERROR(__xludf.DUMMYFUNCTION("IMPORTRANGE(""https://docs.google.com/spreadsheets/d/1Yj_ptqi66GCucihVvJfMjLAmec39IyEx_6qawtMGysU/edit?usp=sharing"",""สบก!CC39"")"),0)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IFERROR(__xludf.DUMMYFUNCTION("IMPORTRANGE(""https://docs.google.com/spreadsheets/d/1Yj_ptqi66GCucihVvJfMjLAmec39IyEx_6qawtMGysU/edit?usp=sharing"",""สบก!BX39"")"),0)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IFERROR(__xludf.DUMMYFUNCTION("IMPORTRANGE(""https://docs.google.com/spreadsheets/d/1Yj_ptqi66GCucihVvJfMjLAmec39IyEx_6qawtMGysU/edit?usp=sharing"",""สบก!BY39"")"),0)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IFERROR(__xludf.DUMMYFUNCTION("IMPORTRANGE(""https://docs.google.com/spreadsheets/d/1XL5vhW3sbDhbH9Cz0tuDiY8C3ctxq1tqvaCgkFb8cCA/edit?usp=sharing"",""ขอนแก่น!J175"")"),0)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IFERROR(__xludf.DUMMYFUNCTION("IMPORTRANGE(""https://docs.google.com/spreadsheets/d/1XL5vhW3sbDhbH9Cz0tuDiY8C3ctxq1tqvaCgkFb8cCA/edit?usp=sharing"",""ขอนแก่น!J176"")"),0)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IFERROR(__xludf.DUMMYFUNCTION("IMPORTRANGE(""https://docs.google.com/spreadsheets/d/1XL5vhW3sbDhbH9Cz0tuDiY8C3ctxq1tqvaCgkFb8cCA/edit?usp=sharing"",""ขอนแก่น!J177"")"),0)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IFERROR(__xludf.DUMMYFUNCTION("IMPORTRANGE(""https://docs.google.com/spreadsheets/d/1XL5vhW3sbDhbH9Cz0tuDiY8C3ctxq1tqvaCgkFb8cCA/edit?usp=sharing"",""ขอนแก่น!J178"")"),0)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IFERROR(__xludf.DUMMYFUNCTION("IMPORTRANGE(""https://docs.google.com/spreadsheets/d/1XL5vhW3sbDhbH9Cz0tuDiY8C3ctxq1tqvaCgkFb8cCA/edit?usp=sharing"",""ขอนแก่น!I179"")"),0)</f>
        <v>0</v>
      </c>
      <c r="J264" s="190">
        <f ca="1">IFERROR(__xludf.DUMMYFUNCTION("IMPORTRANGE(""https://docs.google.com/spreadsheets/d/1XL5vhW3sbDhbH9Cz0tuDiY8C3ctxq1tqvaCgkFb8cCA/edit?usp=sharing"",""ขอนแก่น!J179"")"),0)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IFERROR(__xludf.DUMMYFUNCTION("IMPORTRANGE(""https://docs.google.com/spreadsheets/d/1XL5vhW3sbDhbH9Cz0tuDiY8C3ctxq1tqvaCgkFb8cCA/edit?usp=sharing"",""ขอนแก่น!I180"")"),0)</f>
        <v>0</v>
      </c>
      <c r="J265" s="190">
        <f ca="1">IFERROR(__xludf.DUMMYFUNCTION("IMPORTRANGE(""https://docs.google.com/spreadsheets/d/1XL5vhW3sbDhbH9Cz0tuDiY8C3ctxq1tqvaCgkFb8cCA/edit?usp=sharing"",""ขอนแก่น!J180"")"),0)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IFERROR(__xludf.DUMMYFUNCTION("IMPORTRANGE(""https://docs.google.com/spreadsheets/d/1XL5vhW3sbDhbH9Cz0tuDiY8C3ctxq1tqvaCgkFb8cCA/edit?usp=sharing"",""ขอนแก่น!I181"")"),0)</f>
        <v>0</v>
      </c>
      <c r="J266" s="190">
        <f ca="1">IFERROR(__xludf.DUMMYFUNCTION("IMPORTRANGE(""https://docs.google.com/spreadsheets/d/1XL5vhW3sbDhbH9Cz0tuDiY8C3ctxq1tqvaCgkFb8cCA/edit?usp=sharing"",""ขอนแก่น!J181"")"),0)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IFERROR(__xludf.DUMMYFUNCTION("IMPORTRANGE(""https://docs.google.com/spreadsheets/d/1XL5vhW3sbDhbH9Cz0tuDiY8C3ctxq1tqvaCgkFb8cCA/edit?usp=sharing"",""ขอนแก่น!I182"")"),0)</f>
        <v>0</v>
      </c>
      <c r="J267" s="190">
        <f ca="1">IFERROR(__xludf.DUMMYFUNCTION("IMPORTRANGE(""https://docs.google.com/spreadsheets/d/1XL5vhW3sbDhbH9Cz0tuDiY8C3ctxq1tqvaCgkFb8cCA/edit?usp=sharing"",""ขอนแก่น!J182"")"),0)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IFERROR(__xludf.DUMMYFUNCTION("IMPORTRANGE(""https://docs.google.com/spreadsheets/d/1XL5vhW3sbDhbH9Cz0tuDiY8C3ctxq1tqvaCgkFb8cCA/edit?usp=sharing"",""ขอนแก่น!J183"")"),0)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IFERROR(__xludf.DUMMYFUNCTION("IMPORTRANGE(""https://docs.google.com/spreadsheets/d/1XL5vhW3sbDhbH9Cz0tuDiY8C3ctxq1tqvaCgkFb8cCA/edit?usp=sharing"",""ขอนแก่น!J184"")"),0)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IFERROR(__xludf.DUMMYFUNCTION("IMPORTRANGE(""https://docs.google.com/spreadsheets/d/1XL5vhW3sbDhbH9Cz0tuDiY8C3ctxq1tqvaCgkFb8cCA/edit?usp=sharing"",""ขอนแก่น!I185"")"),15)</f>
        <v>15</v>
      </c>
      <c r="J270" s="316">
        <f ca="1">IFERROR(__xludf.DUMMYFUNCTION("IMPORTRANGE(""https://docs.google.com/spreadsheets/d/1XL5vhW3sbDhbH9Cz0tuDiY8C3ctxq1tqvaCgkFb8cCA/edit?usp=sharing"",""ขอนแก่น!J185"")"),15)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29120</v>
      </c>
      <c r="O271" s="151">
        <f t="shared" ref="O271:O273" ca="1" si="84">IF(L271&gt;0,N271*100/L271,0)</f>
        <v>52.753623188405797</v>
      </c>
      <c r="P271" s="151">
        <f t="shared" ref="P271:P273" ca="1" si="85">IF(M271&gt;0,N271*100/M271,0)</f>
        <v>90.294573643410857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29120</v>
      </c>
      <c r="O273" s="156">
        <f t="shared" ca="1" si="84"/>
        <v>52.753623188405797</v>
      </c>
      <c r="P273" s="156">
        <f t="shared" ca="1" si="85"/>
        <v>90.294573643410857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IFERROR(__xludf.DUMMYFUNCTION("IMPORTRANGE(""https://docs.google.com/spreadsheets/d/1Yj_ptqi66GCucihVvJfMjLAmec39IyEx_6qawtMGysU/edit?usp=sharing"",""สบก!CK39"")"),32250)</f>
        <v>32250</v>
      </c>
      <c r="N275" s="170">
        <f ca="1">IFERROR(__xludf.DUMMYFUNCTION("IMPORTRANGE(""https://docs.google.com/spreadsheets/d/1Yj_ptqi66GCucihVvJfMjLAmec39IyEx_6qawtMGysU/edit?usp=sharing"",""สบก!CL39"")"),29120)</f>
        <v>29120</v>
      </c>
      <c r="O275" s="170">
        <f ca="1">IF(L275&gt;0,N275*100/L275,0)</f>
        <v>52.753623188405797</v>
      </c>
      <c r="P275" s="170">
        <f ca="1">IF(M275&gt;0,N275*100/M275,0)</f>
        <v>90.294573643410857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IFERROR(__xludf.DUMMYFUNCTION("IMPORTRANGE(""https://docs.google.com/spreadsheets/d/1Yj_ptqi66GCucihVvJfMjLAmec39IyEx_6qawtMGysU/edit?usp=sharing"",""สบก!CG39"")"),0)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IFERROR(__xludf.DUMMYFUNCTION("IMPORTRANGE(""https://docs.google.com/spreadsheets/d/1Yj_ptqi66GCucihVvJfMjLAmec39IyEx_6qawtMGysU/edit?usp=sharing"",""สบก!CH39"")"),55200)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IFERROR(__xludf.DUMMYFUNCTION("IMPORTRANGE(""https://docs.google.com/spreadsheets/d/1XL5vhW3sbDhbH9Cz0tuDiY8C3ctxq1tqvaCgkFb8cCA/edit?usp=sharing"",""ขอนแก่น!J191"")"),0)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IFERROR(__xludf.DUMMYFUNCTION("IMPORTRANGE(""https://docs.google.com/spreadsheets/d/1XL5vhW3sbDhbH9Cz0tuDiY8C3ctxq1tqvaCgkFb8cCA/edit?usp=sharing"",""ขอนแก่น!J192"")"),1)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IFERROR(__xludf.DUMMYFUNCTION("IMPORTRANGE(""https://docs.google.com/spreadsheets/d/1XL5vhW3sbDhbH9Cz0tuDiY8C3ctxq1tqvaCgkFb8cCA/edit?usp=sharing"",""ขอนแก่น!J193"")"),1)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IFERROR(__xludf.DUMMYFUNCTION("IMPORTRANGE(""https://docs.google.com/spreadsheets/d/1XL5vhW3sbDhbH9Cz0tuDiY8C3ctxq1tqvaCgkFb8cCA/edit?usp=sharing"",""ขอนแก่น!J194"")"),0)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IFERROR(__xludf.DUMMYFUNCTION("IMPORTRANGE(""https://docs.google.com/spreadsheets/d/1XL5vhW3sbDhbH9Cz0tuDiY8C3ctxq1tqvaCgkFb8cCA/edit?usp=sharing"",""ขอนแก่น!I195"")"),15)</f>
        <v>15</v>
      </c>
      <c r="J285" s="190">
        <f ca="1">IFERROR(__xludf.DUMMYFUNCTION("IMPORTRANGE(""https://docs.google.com/spreadsheets/d/1XL5vhW3sbDhbH9Cz0tuDiY8C3ctxq1tqvaCgkFb8cCA/edit?usp=sharing"",""ขอนแก่น!J195"")"),15)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IFERROR(__xludf.DUMMYFUNCTION("IMPORTRANGE(""https://docs.google.com/spreadsheets/d/1XL5vhW3sbDhbH9Cz0tuDiY8C3ctxq1tqvaCgkFb8cCA/edit?usp=sharing"",""ขอนแก่น!J196"")"),0)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IFERROR(__xludf.DUMMYFUNCTION("IMPORTRANGE(""https://docs.google.com/spreadsheets/d/1XL5vhW3sbDhbH9Cz0tuDiY8C3ctxq1tqvaCgkFb8cCA/edit?usp=sharing"",""ขอนแก่น!I199"")"),0)</f>
        <v>0</v>
      </c>
      <c r="J289" s="316">
        <f ca="1">IFERROR(__xludf.DUMMYFUNCTION("IMPORTRANGE(""https://docs.google.com/spreadsheets/d/1XL5vhW3sbDhbH9Cz0tuDiY8C3ctxq1tqvaCgkFb8cCA/edit?usp=sharing"",""ขอนแก่น!J199"")"),0)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IFERROR(__xludf.DUMMYFUNCTION("IMPORTRANGE(""https://docs.google.com/spreadsheets/d/1Yj_ptqi66GCucihVvJfMjLAmec39IyEx_6qawtMGysU/edit?usp=sharing"",""สบก!CT39"")"),0)</f>
        <v>0</v>
      </c>
      <c r="N294" s="170">
        <f ca="1">IFERROR(__xludf.DUMMYFUNCTION("IMPORTRANGE(""https://docs.google.com/spreadsheets/d/1Yj_ptqi66GCucihVvJfMjLAmec39IyEx_6qawtMGysU/edit?usp=sharing"",""สบก!CU39"")"),0)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IFERROR(__xludf.DUMMYFUNCTION("IMPORTRANGE(""https://docs.google.com/spreadsheets/d/1Yj_ptqi66GCucihVvJfMjLAmec39IyEx_6qawtMGysU/edit?usp=sharing"",""สบก!CP39"")"),0)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IFERROR(__xludf.DUMMYFUNCTION("IMPORTRANGE(""https://docs.google.com/spreadsheets/d/1Yj_ptqi66GCucihVvJfMjLAmec39IyEx_6qawtMGysU/edit?usp=sharing"",""สบก!CQ39"")"),0)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IFERROR(__xludf.DUMMYFUNCTION("IMPORTRANGE(""https://docs.google.com/spreadsheets/d/1XL5vhW3sbDhbH9Cz0tuDiY8C3ctxq1tqvaCgkFb8cCA/edit?usp=sharing"",""ขอนแก่น!I209"")"),0)</f>
        <v>0</v>
      </c>
      <c r="J304" s="205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IFERROR(__xludf.DUMMYFUNCTION("IMPORTRANGE(""https://docs.google.com/spreadsheets/d/1XL5vhW3sbDhbH9Cz0tuDiY8C3ctxq1tqvaCgkFb8cCA/edit?usp=sharing"",""ขอนแก่น!I211"")"),0)</f>
        <v>0</v>
      </c>
      <c r="J306" s="205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IFERROR(__xludf.DUMMYFUNCTION("IMPORTRANGE(""https://docs.google.com/spreadsheets/d/1XL5vhW3sbDhbH9Cz0tuDiY8C3ctxq1tqvaCgkFb8cCA/edit?usp=sharing"",""ขอนแก่น!I214"")"),0)</f>
        <v>0</v>
      </c>
      <c r="J309" s="333">
        <f ca="1">IFERROR(__xludf.DUMMYFUNCTION("IMPORTRANGE(""https://docs.google.com/spreadsheets/d/1XL5vhW3sbDhbH9Cz0tuDiY8C3ctxq1tqvaCgkFb8cCA/edit?usp=sharing"",""ขอนแก่น!J214"")"),0)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IFERROR(__xludf.DUMMYFUNCTION("IMPORTRANGE(""https://docs.google.com/spreadsheets/d/1Yj_ptqi66GCucihVvJfMjLAmec39IyEx_6qawtMGysU/edit?usp=sharing"",""สบก!DC39"")"),0)</f>
        <v>0</v>
      </c>
      <c r="N314" s="170">
        <f ca="1">IFERROR(__xludf.DUMMYFUNCTION("IMPORTRANGE(""https://docs.google.com/spreadsheets/d/1Yj_ptqi66GCucihVvJfMjLAmec39IyEx_6qawtMGysU/edit?usp=sharing"",""สบก!DD39"")"),0)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IFERROR(__xludf.DUMMYFUNCTION("IMPORTRANGE(""https://docs.google.com/spreadsheets/d/1Yj_ptqi66GCucihVvJfMjLAmec39IyEx_6qawtMGysU/edit?usp=sharing"",""สบก!CY39"")"),0)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IFERROR(__xludf.DUMMYFUNCTION("IMPORTRANGE(""https://docs.google.com/spreadsheets/d/1Yj_ptqi66GCucihVvJfMjLAmec39IyEx_6qawtMGysU/edit?usp=sharing"",""สบก!CZ39"")"),0)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IFERROR(__xludf.DUMMYFUNCTION("IMPORTRANGE(""https://docs.google.com/spreadsheets/d/1XL5vhW3sbDhbH9Cz0tuDiY8C3ctxq1tqvaCgkFb8cCA/edit?usp=sharing"",""ขอนแก่น!I224"")"),0)</f>
        <v>0</v>
      </c>
      <c r="J324" s="205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IFERROR(__xludf.DUMMYFUNCTION("IMPORTRANGE(""https://docs.google.com/spreadsheets/d/1XL5vhW3sbDhbH9Cz0tuDiY8C3ctxq1tqvaCgkFb8cCA/edit?usp=sharing"",""ขอนแก่น!I228"")"),400)</f>
        <v>400</v>
      </c>
      <c r="J328" s="339">
        <f ca="1">IFERROR(__xludf.DUMMYFUNCTION("IMPORTRANGE(""https://docs.google.com/spreadsheets/d/1XL5vhW3sbDhbH9Cz0tuDiY8C3ctxq1tqvaCgkFb8cCA/edit?usp=sharing"",""ขอนแก่น!J228"")"),284)</f>
        <v>284</v>
      </c>
      <c r="K328" s="317">
        <f ca="1">IF(I328&gt;0,J328*100/I328,0)</f>
        <v>71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1211000</v>
      </c>
      <c r="M329" s="152">
        <f t="shared" ca="1" si="98"/>
        <v>678010</v>
      </c>
      <c r="N329" s="152">
        <f t="shared" ca="1" si="98"/>
        <v>625713</v>
      </c>
      <c r="O329" s="151">
        <f t="shared" ref="O329:O331" ca="1" si="99">IF(L329&gt;0,N329*100/L329,0)</f>
        <v>51.66911643270025</v>
      </c>
      <c r="P329" s="151">
        <f t="shared" ref="P329:P331" ca="1" si="100">IF(M329&gt;0,N329*100/M329,0)</f>
        <v>92.286691936697096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1211000</v>
      </c>
      <c r="M331" s="157">
        <f t="shared" ca="1" si="102"/>
        <v>678010</v>
      </c>
      <c r="N331" s="157">
        <f t="shared" ca="1" si="102"/>
        <v>625713</v>
      </c>
      <c r="O331" s="156">
        <f t="shared" ca="1" si="99"/>
        <v>51.66911643270025</v>
      </c>
      <c r="P331" s="156">
        <f t="shared" ca="1" si="100"/>
        <v>92.286691936697096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1194000</v>
      </c>
      <c r="M333" s="169">
        <f ca="1">IFERROR(__xludf.DUMMYFUNCTION("IMPORTRANGE(""https://docs.google.com/spreadsheets/d/1Yj_ptqi66GCucihVvJfMjLAmec39IyEx_6qawtMGysU/edit?usp=sharing"",""สบก!DL39"")"),661010)</f>
        <v>661010</v>
      </c>
      <c r="N333" s="170">
        <f ca="1">IFERROR(__xludf.DUMMYFUNCTION("IMPORTRANGE(""https://docs.google.com/spreadsheets/d/1Yj_ptqi66GCucihVvJfMjLAmec39IyEx_6qawtMGysU/edit?usp=sharing"",""สบก!DM39"")"),608713)</f>
        <v>608713</v>
      </c>
      <c r="O333" s="170">
        <f ca="1">IF(L333&gt;0,N333*100/L333,0)</f>
        <v>50.980988274706867</v>
      </c>
      <c r="P333" s="170">
        <f ca="1">IF(M333&gt;0,N333*100/M333,0)</f>
        <v>92.088319390024353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IFERROR(__xludf.DUMMYFUNCTION("IMPORTRANGE(""https://docs.google.com/spreadsheets/d/1Yj_ptqi66GCucihVvJfMjLAmec39IyEx_6qawtMGysU/edit?usp=sharing"",""สบก!DH39"")"),500400)</f>
        <v>500400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IFERROR(__xludf.DUMMYFUNCTION("IMPORTRANGE(""https://docs.google.com/spreadsheets/d/1Yj_ptqi66GCucihVvJfMjLAmec39IyEx_6qawtMGysU/edit?usp=sharing"",""สบก!DI39"")"),693600)</f>
        <v>693600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IFERROR(__xludf.DUMMYFUNCTION("IMPORTRANGE(""https://docs.google.com/spreadsheets/d/1XL5vhW3sbDhbH9Cz0tuDiY8C3ctxq1tqvaCgkFb8cCA/edit?usp=sharing"",""ขอนแก่น!I234"")"),0)</f>
        <v>0</v>
      </c>
      <c r="J339" s="189">
        <f ca="1">IFERROR(__xludf.DUMMYFUNCTION("IMPORTRANGE(""https://docs.google.com/spreadsheets/d/1XL5vhW3sbDhbH9Cz0tuDiY8C3ctxq1tqvaCgkFb8cCA/edit?usp=sharing"",""ขอนแก่น!J234"")"),185)</f>
        <v>185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IFERROR(__xludf.DUMMYFUNCTION("IMPORTRANGE(""https://docs.google.com/spreadsheets/d/1XL5vhW3sbDhbH9Cz0tuDiY8C3ctxq1tqvaCgkFb8cCA/edit?usp=sharing"",""ขอนแก่น!I235"")"),4000)</f>
        <v>4000</v>
      </c>
      <c r="J340" s="189">
        <f ca="1">IFERROR(__xludf.DUMMYFUNCTION("IMPORTRANGE(""https://docs.google.com/spreadsheets/d/1XL5vhW3sbDhbH9Cz0tuDiY8C3ctxq1tqvaCgkFb8cCA/edit?usp=sharing"",""ขอนแก่น!J235"")"),1573.65)</f>
        <v>1573.65</v>
      </c>
      <c r="K340" s="342">
        <f t="shared" ca="1" si="103"/>
        <v>39.341250000000002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IFERROR(__xludf.DUMMYFUNCTION("IMPORTRANGE(""https://docs.google.com/spreadsheets/d/1XL5vhW3sbDhbH9Cz0tuDiY8C3ctxq1tqvaCgkFb8cCA/edit?usp=sharing"",""ขอนแก่น!I236"")"),400)</f>
        <v>400</v>
      </c>
      <c r="J341" s="189">
        <f ca="1">IFERROR(__xludf.DUMMYFUNCTION("IMPORTRANGE(""https://docs.google.com/spreadsheets/d/1XL5vhW3sbDhbH9Cz0tuDiY8C3ctxq1tqvaCgkFb8cCA/edit?usp=sharing"",""ขอนแก่น!J236"")"),429)</f>
        <v>429</v>
      </c>
      <c r="K341" s="342">
        <f t="shared" ca="1" si="103"/>
        <v>107.25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9">
        <f ca="1">IFERROR(__xludf.DUMMYFUNCTION("IMPORTRANGE(""https://docs.google.com/spreadsheets/d/1XL5vhW3sbDhbH9Cz0tuDiY8C3ctxq1tqvaCgkFb8cCA/edit?usp=sharing"",""ขอนแก่น!J237"")"),4549.46999999999)</f>
        <v>4549.4699999999903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IFERROR(__xludf.DUMMYFUNCTION("IMPORTRANGE(""https://docs.google.com/spreadsheets/d/1XL5vhW3sbDhbH9Cz0tuDiY8C3ctxq1tqvaCgkFb8cCA/edit?usp=sharing"",""ขอนแก่น!I238"")"),400)</f>
        <v>400</v>
      </c>
      <c r="J343" s="189">
        <f ca="1">IFERROR(__xludf.DUMMYFUNCTION("IMPORTRANGE(""https://docs.google.com/spreadsheets/d/1XL5vhW3sbDhbH9Cz0tuDiY8C3ctxq1tqvaCgkFb8cCA/edit?usp=sharing"",""ขอนแก่น!J238"")"),48)</f>
        <v>48</v>
      </c>
      <c r="K343" s="342">
        <f t="shared" ca="1" si="103"/>
        <v>12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9">
        <f ca="1">IFERROR(__xludf.DUMMYFUNCTION("IMPORTRANGE(""https://docs.google.com/spreadsheets/d/1XL5vhW3sbDhbH9Cz0tuDiY8C3ctxq1tqvaCgkFb8cCA/edit?usp=sharing"",""ขอนแก่น!J239"")"),603.78)</f>
        <v>603.78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IFERROR(__xludf.DUMMYFUNCTION("IMPORTRANGE(""https://docs.google.com/spreadsheets/d/1XL5vhW3sbDhbH9Cz0tuDiY8C3ctxq1tqvaCgkFb8cCA/edit?usp=sharing"",""ขอนแก่น!I240"")"),400)</f>
        <v>400</v>
      </c>
      <c r="J345" s="189">
        <f ca="1">IFERROR(__xludf.DUMMYFUNCTION("IMPORTRANGE(""https://docs.google.com/spreadsheets/d/1XL5vhW3sbDhbH9Cz0tuDiY8C3ctxq1tqvaCgkFb8cCA/edit?usp=sharing"",""ขอนแก่น!J240"")"),284)</f>
        <v>284</v>
      </c>
      <c r="K345" s="342">
        <f t="shared" ca="1" si="103"/>
        <v>71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9">
        <f ca="1">IFERROR(__xludf.DUMMYFUNCTION("IMPORTRANGE(""https://docs.google.com/spreadsheets/d/1XL5vhW3sbDhbH9Cz0tuDiY8C3ctxq1tqvaCgkFb8cCA/edit?usp=sharing"",""ขอนแก่น!J241"")"),3108.1)</f>
        <v>3108.1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IFERROR(__xludf.DUMMYFUNCTION("IMPORTRANGE(""https://docs.google.com/spreadsheets/d/1XL5vhW3sbDhbH9Cz0tuDiY8C3ctxq1tqvaCgkFb8cCA/edit?usp=sharing"",""ขอนแก่น!L242"")"),2734921)</f>
        <v>2734921</v>
      </c>
      <c r="M347" s="358"/>
      <c r="N347" s="358">
        <f ca="1">IFERROR(__xludf.DUMMYFUNCTION("IMPORTRANGE(""https://docs.google.com/spreadsheets/d/1XL5vhW3sbDhbH9Cz0tuDiY8C3ctxq1tqvaCgkFb8cCA/edit?usp=sharing"",""ขอนแก่น!M242"")"),655923.77)</f>
        <v>655923.77</v>
      </c>
      <c r="O347" s="358">
        <f ca="1">+IF(L347&gt;0,N347*100/L347,0)</f>
        <v>23.983280321442557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IFERROR(__xludf.DUMMYFUNCTION("IMPORTRANGE(""https://docs.google.com/spreadsheets/d/1XL5vhW3sbDhbH9Cz0tuDiY8C3ctxq1tqvaCgkFb8cCA/edit?usp=sharing"",""ขอนแก่น!M244"")"),136185.33)</f>
        <v>136185.32999999999</v>
      </c>
      <c r="O349" s="373">
        <f ca="1">+IF(L349&gt;0,N349*100/L349,0)</f>
        <v>38.962415243326745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IFERROR(__xludf.DUMMYFUNCTION("IMPORTRANGE(""https://docs.google.com/spreadsheets/d/1XL5vhW3sbDhbH9Cz0tuDiY8C3ctxq1tqvaCgkFb8cCA/edit?usp=sharing"",""ขอนแก่น!L246"")"),0)</f>
        <v>0</v>
      </c>
      <c r="M351" s="166"/>
      <c r="N351" s="166">
        <f ca="1">IFERROR(__xludf.DUMMYFUNCTION("IMPORTRANGE(""https://docs.google.com/spreadsheets/d/1XL5vhW3sbDhbH9Cz0tuDiY8C3ctxq1tqvaCgkFb8cCA/edit?usp=sharing"",""ขอนแก่น!M246"")"),0)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IFERROR(__xludf.DUMMYFUNCTION("IMPORTRANGE(""https://docs.google.com/spreadsheets/d/1XL5vhW3sbDhbH9Cz0tuDiY8C3ctxq1tqvaCgkFb8cCA/edit?usp=sharing"",""ขอนแก่น!L247"")"),349530)</f>
        <v>349530</v>
      </c>
      <c r="M352" s="167"/>
      <c r="N352" s="166">
        <f ca="1">IFERROR(__xludf.DUMMYFUNCTION("IMPORTRANGE(""https://docs.google.com/spreadsheets/d/1XL5vhW3sbDhbH9Cz0tuDiY8C3ctxq1tqvaCgkFb8cCA/edit?usp=sharing"",""ขอนแก่น!M247"")"),136185.33)</f>
        <v>136185.32999999999</v>
      </c>
      <c r="O352" s="167">
        <f t="shared" ca="1" si="105"/>
        <v>38.962415243326745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IFERROR(__xludf.DUMMYFUNCTION("IMPORTRANGE(""https://docs.google.com/spreadsheets/d/1XL5vhW3sbDhbH9Cz0tuDiY8C3ctxq1tqvaCgkFb8cCA/edit?usp=sharing"",""ขอนแก่น!L248"")"),0)</f>
        <v>0</v>
      </c>
      <c r="M353" s="170"/>
      <c r="N353" s="170">
        <f ca="1">IFERROR(__xludf.DUMMYFUNCTION("IMPORTRANGE(""https://docs.google.com/spreadsheets/d/1XL5vhW3sbDhbH9Cz0tuDiY8C3ctxq1tqvaCgkFb8cCA/edit?usp=sharing"",""ขอนแก่น!M248"")"),0)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IFERROR(__xludf.DUMMYFUNCTION("IMPORTRANGE(""https://docs.google.com/spreadsheets/d/1XL5vhW3sbDhbH9Cz0tuDiY8C3ctxq1tqvaCgkFb8cCA/edit?usp=sharing"",""ขอนแก่น!L249"")"),349530)</f>
        <v>349530</v>
      </c>
      <c r="M354" s="170"/>
      <c r="N354" s="169">
        <f ca="1">IFERROR(__xludf.DUMMYFUNCTION("IMPORTRANGE(""https://docs.google.com/spreadsheets/d/1XL5vhW3sbDhbH9Cz0tuDiY8C3ctxq1tqvaCgkFb8cCA/edit?usp=sharing"",""ขอนแก่น!M249"")"),136185.33)</f>
        <v>136185.32999999999</v>
      </c>
      <c r="O354" s="170">
        <f t="shared" ca="1" si="105"/>
        <v>38.962415243326745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IFERROR(__xludf.DUMMYFUNCTION("IMPORTRANGE(""https://docs.google.com/spreadsheets/d/1XL5vhW3sbDhbH9Cz0tuDiY8C3ctxq1tqvaCgkFb8cCA/edit?usp=sharing"",""ขอนแก่น!M250"")"),24700)</f>
        <v>24700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IFERROR(__xludf.DUMMYFUNCTION("IMPORTRANGE(""https://docs.google.com/spreadsheets/d/1XL5vhW3sbDhbH9Cz0tuDiY8C3ctxq1tqvaCgkFb8cCA/edit?usp=sharing"",""ขอนแก่น!M252"")"),43633.33)</f>
        <v>43633.33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IFERROR(__xludf.DUMMYFUNCTION("IMPORTRANGE(""https://docs.google.com/spreadsheets/d/1XL5vhW3sbDhbH9Cz0tuDiY8C3ctxq1tqvaCgkFb8cCA/edit?usp=sharing"",""ขอนแก่น!M253"")"),7927)</f>
        <v>7927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IFERROR(__xludf.DUMMYFUNCTION("IMPORTRANGE(""https://docs.google.com/spreadsheets/d/1XL5vhW3sbDhbH9Cz0tuDiY8C3ctxq1tqvaCgkFb8cCA/edit?usp=sharing"",""ขอนแก่น!J255"")"),0)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IFERROR(__xludf.DUMMYFUNCTION("IMPORTRANGE(""https://docs.google.com/spreadsheets/d/1XL5vhW3sbDhbH9Cz0tuDiY8C3ctxq1tqvaCgkFb8cCA/edit?usp=sharing"",""ขอนแก่น!J256"")"),1)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IFERROR(__xludf.DUMMYFUNCTION("IMPORTRANGE(""https://docs.google.com/spreadsheets/d/1XL5vhW3sbDhbH9Cz0tuDiY8C3ctxq1tqvaCgkFb8cCA/edit?usp=sharing"",""ขอนแก่น!J257"")"),1)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IFERROR(__xludf.DUMMYFUNCTION("IMPORTRANGE(""https://docs.google.com/spreadsheets/d/1XL5vhW3sbDhbH9Cz0tuDiY8C3ctxq1tqvaCgkFb8cCA/edit?usp=sharing"",""ขอนแก่น!J258"")"),0)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IFERROR(__xludf.DUMMYFUNCTION("IMPORTRANGE(""https://docs.google.com/spreadsheets/d/1XL5vhW3sbDhbH9Cz0tuDiY8C3ctxq1tqvaCgkFb8cCA/edit?usp=sharing"",""ขอนแก่น!J166"")"),0)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IFERROR(__xludf.DUMMYFUNCTION("IMPORTRANGE(""https://docs.google.com/spreadsheets/d/1XL5vhW3sbDhbH9Cz0tuDiY8C3ctxq1tqvaCgkFb8cCA/edit?usp=sharing"",""ขอนแก่น!J166"")"),0)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IFERROR(__xludf.DUMMYFUNCTION("IMPORTRANGE(""https://docs.google.com/spreadsheets/d/1XL5vhW3sbDhbH9Cz0tuDiY8C3ctxq1tqvaCgkFb8cCA/edit?usp=sharing"",""ขอนแก่น!J166"")"),0)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IFERROR(__xludf.DUMMYFUNCTION("IMPORTRANGE(""https://docs.google.com/spreadsheets/d/1XL5vhW3sbDhbH9Cz0tuDiY8C3ctxq1tqvaCgkFb8cCA/edit?usp=sharing"",""ขอนแก่น!J166"")"),0)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IFERROR(__xludf.DUMMYFUNCTION("IMPORTRANGE(""https://docs.google.com/spreadsheets/d/1XL5vhW3sbDhbH9Cz0tuDiY8C3ctxq1tqvaCgkFb8cCA/edit?usp=sharing"",""ขอนแก่น!I263"")"),55)</f>
        <v>55</v>
      </c>
      <c r="J368" s="189">
        <f ca="1">IFERROR(__xludf.DUMMYFUNCTION("IMPORTRANGE(""https://docs.google.com/spreadsheets/d/1XL5vhW3sbDhbH9Cz0tuDiY8C3ctxq1tqvaCgkFb8cCA/edit?usp=sharing"",""ขอนแก่น!J263"")"),0)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IFERROR(__xludf.DUMMYFUNCTION("IMPORTRANGE(""https://docs.google.com/spreadsheets/d/1XL5vhW3sbDhbH9Cz0tuDiY8C3ctxq1tqvaCgkFb8cCA/edit?usp=sharing"",""ขอนแก่น!I164"")"),0)</f>
        <v>0</v>
      </c>
      <c r="J369" s="205">
        <f ca="1">IFERROR(__xludf.DUMMYFUNCTION("IMPORTRANGE(""https://docs.google.com/spreadsheets/d/1XL5vhW3sbDhbH9Cz0tuDiY8C3ctxq1tqvaCgkFb8cCA/edit?usp=sharing"",""ขอนแก่น!J164"")"),0)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IFERROR(__xludf.DUMMYFUNCTION("IMPORTRANGE(""https://docs.google.com/spreadsheets/d/1XL5vhW3sbDhbH9Cz0tuDiY8C3ctxq1tqvaCgkFb8cCA/edit?usp=sharing"",""ขอนแก่น!I265"")"),55)</f>
        <v>55</v>
      </c>
      <c r="J370" s="205">
        <f ca="1">IFERROR(__xludf.DUMMYFUNCTION("IMPORTRANGE(""https://docs.google.com/spreadsheets/d/1XL5vhW3sbDhbH9Cz0tuDiY8C3ctxq1tqvaCgkFb8cCA/edit?usp=sharing"",""ขอนแก่น!J265"")"),55)</f>
        <v>55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IFERROR(__xludf.DUMMYFUNCTION("IMPORTRANGE(""https://docs.google.com/spreadsheets/d/1XL5vhW3sbDhbH9Cz0tuDiY8C3ctxq1tqvaCgkFb8cCA/edit?usp=sharing"",""ขอนแก่น!I164"")"),0)</f>
        <v>0</v>
      </c>
      <c r="J371" s="190">
        <f ca="1">IFERROR(__xludf.DUMMYFUNCTION("IMPORTRANGE(""https://docs.google.com/spreadsheets/d/1XL5vhW3sbDhbH9Cz0tuDiY8C3ctxq1tqvaCgkFb8cCA/edit?usp=sharing"",""ขอนแก่น!J164"")"),0)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IFERROR(__xludf.DUMMYFUNCTION("IMPORTRANGE(""https://docs.google.com/spreadsheets/d/1XL5vhW3sbDhbH9Cz0tuDiY8C3ctxq1tqvaCgkFb8cCA/edit?usp=sharing"",""ขอนแก่น!I267"")"),55)</f>
        <v>55</v>
      </c>
      <c r="J372" s="190">
        <f ca="1">IFERROR(__xludf.DUMMYFUNCTION("IMPORTRANGE(""https://docs.google.com/spreadsheets/d/1XL5vhW3sbDhbH9Cz0tuDiY8C3ctxq1tqvaCgkFb8cCA/edit?usp=sharing"",""ขอนแก่น!J267"")"),0)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IFERROR(__xludf.DUMMYFUNCTION("IMPORTRANGE(""https://docs.google.com/spreadsheets/d/1XL5vhW3sbDhbH9Cz0tuDiY8C3ctxq1tqvaCgkFb8cCA/edit?usp=sharing"",""ขอนแก่น!I164"")"),0)</f>
        <v>0</v>
      </c>
      <c r="J373" s="205">
        <f ca="1">IFERROR(__xludf.DUMMYFUNCTION("IMPORTRANGE(""https://docs.google.com/spreadsheets/d/1XL5vhW3sbDhbH9Cz0tuDiY8C3ctxq1tqvaCgkFb8cCA/edit?usp=sharing"",""ขอนแก่น!J164"")"),0)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IFERROR(__xludf.DUMMYFUNCTION("IMPORTRANGE(""https://docs.google.com/spreadsheets/d/1XL5vhW3sbDhbH9Cz0tuDiY8C3ctxq1tqvaCgkFb8cCA/edit?usp=sharing"",""ขอนแก่น!I164"")"),0)</f>
        <v>0</v>
      </c>
      <c r="J374" s="189">
        <f ca="1">IFERROR(__xludf.DUMMYFUNCTION("IMPORTRANGE(""https://docs.google.com/spreadsheets/d/1XL5vhW3sbDhbH9Cz0tuDiY8C3ctxq1tqvaCgkFb8cCA/edit?usp=sharing"",""ขอนแก่น!J164"")"),0)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IFERROR(__xludf.DUMMYFUNCTION("IMPORTRANGE(""https://docs.google.com/spreadsheets/d/1XL5vhW3sbDhbH9Cz0tuDiY8C3ctxq1tqvaCgkFb8cCA/edit?usp=sharing"",""ขอนแก่น!I270"")"),95)</f>
        <v>95</v>
      </c>
      <c r="J375" s="189">
        <f ca="1">IFERROR(__xludf.DUMMYFUNCTION("IMPORTRANGE(""https://docs.google.com/spreadsheets/d/1XL5vhW3sbDhbH9Cz0tuDiY8C3ctxq1tqvaCgkFb8cCA/edit?usp=sharing"",""ขอนแก่น!J270"")"),0)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IFERROR(__xludf.DUMMYFUNCTION("IMPORTRANGE(""https://docs.google.com/spreadsheets/d/1XL5vhW3sbDhbH9Cz0tuDiY8C3ctxq1tqvaCgkFb8cCA/edit?usp=sharing"",""ขอนแก่น!I271"")"),60)</f>
        <v>60</v>
      </c>
      <c r="J376" s="190">
        <f ca="1">IFERROR(__xludf.DUMMYFUNCTION("IMPORTRANGE(""https://docs.google.com/spreadsheets/d/1XL5vhW3sbDhbH9Cz0tuDiY8C3ctxq1tqvaCgkFb8cCA/edit?usp=sharing"",""ขอนแก่น!J271"")"),0)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IFERROR(__xludf.DUMMYFUNCTION("IMPORTRANGE(""https://docs.google.com/spreadsheets/d/1XL5vhW3sbDhbH9Cz0tuDiY8C3ctxq1tqvaCgkFb8cCA/edit?usp=sharing"",""ขอนแก่น!I272"")"),35)</f>
        <v>35</v>
      </c>
      <c r="J377" s="205">
        <f ca="1">IFERROR(__xludf.DUMMYFUNCTION("IMPORTRANGE(""https://docs.google.com/spreadsheets/d/1XL5vhW3sbDhbH9Cz0tuDiY8C3ctxq1tqvaCgkFb8cCA/edit?usp=sharing"",""ขอนแก่น!J272"")"),0)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IFERROR(__xludf.DUMMYFUNCTION("IMPORTRANGE(""https://docs.google.com/spreadsheets/d/1XL5vhW3sbDhbH9Cz0tuDiY8C3ctxq1tqvaCgkFb8cCA/edit?usp=sharing"",""ขอนแก่น!J273"")"),0)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IFERROR(__xludf.DUMMYFUNCTION("IMPORTRANGE(""https://docs.google.com/spreadsheets/d/1XL5vhW3sbDhbH9Cz0tuDiY8C3ctxq1tqvaCgkFb8cCA/edit?usp=sharing"",""ขอนแก่น!M275"")"),187735.48)</f>
        <v>187735.48</v>
      </c>
      <c r="O380" s="373">
        <f ca="1">+IF(L380&gt;0,N380*100/L380,0)</f>
        <v>18.252973204215767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IFERROR(__xludf.DUMMYFUNCTION("IMPORTRANGE(""https://docs.google.com/spreadsheets/d/1XL5vhW3sbDhbH9Cz0tuDiY8C3ctxq1tqvaCgkFb8cCA/edit?usp=sharing"",""ขอนแก่น!L277"")"),0)</f>
        <v>0</v>
      </c>
      <c r="M382" s="166"/>
      <c r="N382" s="166">
        <f ca="1">IFERROR(__xludf.DUMMYFUNCTION("IMPORTRANGE(""https://docs.google.com/spreadsheets/d/1XL5vhW3sbDhbH9Cz0tuDiY8C3ctxq1tqvaCgkFb8cCA/edit?usp=sharing"",""ขอนแก่น!M277"")"),0)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IFERROR(__xludf.DUMMYFUNCTION("IMPORTRANGE(""https://docs.google.com/spreadsheets/d/1XL5vhW3sbDhbH9Cz0tuDiY8C3ctxq1tqvaCgkFb8cCA/edit?usp=sharing"",""ขอนแก่น!L278"")"),1028520)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IFERROR(__xludf.DUMMYFUNCTION("IMPORTRANGE(""https://docs.google.com/spreadsheets/d/1XL5vhW3sbDhbH9Cz0tuDiY8C3ctxq1tqvaCgkFb8cCA/edit?usp=sharing"",""ขอนแก่น!M278"")"),187735.48)</f>
        <v>187735.48</v>
      </c>
      <c r="O383" s="167">
        <f t="shared" ca="1" si="109"/>
        <v>18.252973204215767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IFERROR(__xludf.DUMMYFUNCTION("IMPORTRANGE(""https://docs.google.com/spreadsheets/d/1XL5vhW3sbDhbH9Cz0tuDiY8C3ctxq1tqvaCgkFb8cCA/edit?usp=sharing"",""ขอนแก่น!L279"")"),0)</f>
        <v>0</v>
      </c>
      <c r="M384" s="170"/>
      <c r="N384" s="170">
        <f ca="1">IFERROR(__xludf.DUMMYFUNCTION("IMPORTRANGE(""https://docs.google.com/spreadsheets/d/1XL5vhW3sbDhbH9Cz0tuDiY8C3ctxq1tqvaCgkFb8cCA/edit?usp=sharing"",""ขอนแก่น!M279"")"),0)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IFERROR(__xludf.DUMMYFUNCTION("IMPORTRANGE(""https://docs.google.com/spreadsheets/d/1XL5vhW3sbDhbH9Cz0tuDiY8C3ctxq1tqvaCgkFb8cCA/edit?usp=sharing"",""ขอนแก่น!L280"")"),1028520)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IFERROR(__xludf.DUMMYFUNCTION("IMPORTRANGE(""https://docs.google.com/spreadsheets/d/1XL5vhW3sbDhbH9Cz0tuDiY8C3ctxq1tqvaCgkFb8cCA/edit?usp=sharing"",""ขอนแก่น!M280"")"),187735.48)</f>
        <v>187735.48</v>
      </c>
      <c r="O385" s="170">
        <f t="shared" ca="1" si="109"/>
        <v>18.252973204215767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IFERROR(__xludf.DUMMYFUNCTION("IMPORTRANGE(""https://docs.google.com/spreadsheets/d/1XL5vhW3sbDhbH9Cz0tuDiY8C3ctxq1tqvaCgkFb8cCA/edit?usp=sharing"",""ขอนแก่น!M281"")"),105000)</f>
        <v>105000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IFERROR(__xludf.DUMMYFUNCTION("IMPORTRANGE(""https://docs.google.com/spreadsheets/d/1XL5vhW3sbDhbH9Cz0tuDiY8C3ctxq1tqvaCgkFb8cCA/edit?usp=sharing"",""ขอนแก่น!M283"")"),53935.48)</f>
        <v>53935.48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IFERROR(__xludf.DUMMYFUNCTION("IMPORTRANGE(""https://docs.google.com/spreadsheets/d/1XL5vhW3sbDhbH9Cz0tuDiY8C3ctxq1tqvaCgkFb8cCA/edit?usp=sharing"",""ขอนแก่น!M284"")"),28800)</f>
        <v>28800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IFERROR(__xludf.DUMMYFUNCTION("IMPORTRANGE(""https://docs.google.com/spreadsheets/d/1XL5vhW3sbDhbH9Cz0tuDiY8C3ctxq1tqvaCgkFb8cCA/edit?usp=sharing"",""ขอนแก่น!J286"")"),0)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IFERROR(__xludf.DUMMYFUNCTION("IMPORTRANGE(""https://docs.google.com/spreadsheets/d/1XL5vhW3sbDhbH9Cz0tuDiY8C3ctxq1tqvaCgkFb8cCA/edit?usp=sharing"",""ขอนแก่น!J287"")"),1)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IFERROR(__xludf.DUMMYFUNCTION("IMPORTRANGE(""https://docs.google.com/spreadsheets/d/1XL5vhW3sbDhbH9Cz0tuDiY8C3ctxq1tqvaCgkFb8cCA/edit?usp=sharing"",""ขอนแก่น!J288"")"),1)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IFERROR(__xludf.DUMMYFUNCTION("IMPORTRANGE(""https://docs.google.com/spreadsheets/d/1XL5vhW3sbDhbH9Cz0tuDiY8C3ctxq1tqvaCgkFb8cCA/edit?usp=sharing"",""ขอนแก่น!J289"")"),0)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IFERROR(__xludf.DUMMYFUNCTION("IMPORTRANGE(""https://docs.google.com/spreadsheets/d/1XL5vhW3sbDhbH9Cz0tuDiY8C3ctxq1tqvaCgkFb8cCA/edit?usp=sharing"",""ขอนแก่น!I291"")"),100)</f>
        <v>100</v>
      </c>
      <c r="J396" s="199">
        <f ca="1">IFERROR(__xludf.DUMMYFUNCTION("IMPORTRANGE(""https://docs.google.com/spreadsheets/d/1XL5vhW3sbDhbH9Cz0tuDiY8C3ctxq1tqvaCgkFb8cCA/edit?usp=sharing"",""ขอนแก่น!J291"")"),100)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IFERROR(__xludf.DUMMYFUNCTION("IMPORTRANGE(""https://docs.google.com/spreadsheets/d/1XL5vhW3sbDhbH9Cz0tuDiY8C3ctxq1tqvaCgkFb8cCA/edit?usp=sharing"",""ขอนแก่น!I292"")"),1000)</f>
        <v>1000</v>
      </c>
      <c r="J397" s="199">
        <f ca="1">IFERROR(__xludf.DUMMYFUNCTION("IMPORTRANGE(""https://docs.google.com/spreadsheets/d/1XL5vhW3sbDhbH9Cz0tuDiY8C3ctxq1tqvaCgkFb8cCA/edit?usp=sharing"",""ขอนแก่น!J292"")"),0)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IFERROR(__xludf.DUMMYFUNCTION("IMPORTRANGE(""https://docs.google.com/spreadsheets/d/1XL5vhW3sbDhbH9Cz0tuDiY8C3ctxq1tqvaCgkFb8cCA/edit?usp=sharing"",""ขอนแก่น!I293"")"),100)</f>
        <v>100</v>
      </c>
      <c r="J398" s="199">
        <f ca="1">IFERROR(__xludf.DUMMYFUNCTION("IMPORTRANGE(""https://docs.google.com/spreadsheets/d/1XL5vhW3sbDhbH9Cz0tuDiY8C3ctxq1tqvaCgkFb8cCA/edit?usp=sharing"",""ขอนแก่น!J293"")"),0)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IFERROR(__xludf.DUMMYFUNCTION("IMPORTRANGE(""https://docs.google.com/spreadsheets/d/1XL5vhW3sbDhbH9Cz0tuDiY8C3ctxq1tqvaCgkFb8cCA/edit?usp=sharing"",""ขอนแก่น!J294"")"),0)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IFERROR(__xludf.DUMMYFUNCTION("IMPORTRANGE(""https://docs.google.com/spreadsheets/d/1XL5vhW3sbDhbH9Cz0tuDiY8C3ctxq1tqvaCgkFb8cCA/edit?usp=sharing"",""ขอนแก่น!M296"")"),23402)</f>
        <v>23402</v>
      </c>
      <c r="O401" s="373">
        <f ca="1">+IF(L401&gt;0,N401*100/L401,0)</f>
        <v>10.212970236536615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IFERROR(__xludf.DUMMYFUNCTION("IMPORTRANGE(""https://docs.google.com/spreadsheets/d/1XL5vhW3sbDhbH9Cz0tuDiY8C3ctxq1tqvaCgkFb8cCA/edit?usp=sharing"",""ขอนแก่น!L298"")"),0)</f>
        <v>0</v>
      </c>
      <c r="M403" s="166"/>
      <c r="N403" s="170">
        <f ca="1">IFERROR(__xludf.DUMMYFUNCTION("IMPORTRANGE(""https://docs.google.com/spreadsheets/d/1XL5vhW3sbDhbH9Cz0tuDiY8C3ctxq1tqvaCgkFb8cCA/edit?usp=sharing"",""ขอนแก่น!M298"")"),0)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IFERROR(__xludf.DUMMYFUNCTION("IMPORTRANGE(""https://docs.google.com/spreadsheets/d/1XL5vhW3sbDhbH9Cz0tuDiY8C3ctxq1tqvaCgkFb8cCA/edit?usp=sharing"",""ขอนแก่น!L299"")"),229140)</f>
        <v>229140</v>
      </c>
      <c r="M404" s="167"/>
      <c r="N404" s="170">
        <f ca="1">IFERROR(__xludf.DUMMYFUNCTION("IMPORTRANGE(""https://docs.google.com/spreadsheets/d/1XL5vhW3sbDhbH9Cz0tuDiY8C3ctxq1tqvaCgkFb8cCA/edit?usp=sharing"",""ขอนแก่น!M299"")"),23402)</f>
        <v>23402</v>
      </c>
      <c r="O404" s="170">
        <f t="shared" ca="1" si="112"/>
        <v>10.212970236536615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IFERROR(__xludf.DUMMYFUNCTION("IMPORTRANGE(""https://docs.google.com/spreadsheets/d/1XL5vhW3sbDhbH9Cz0tuDiY8C3ctxq1tqvaCgkFb8cCA/edit?usp=sharing"",""ขอนแก่น!L300"")"),0)</f>
        <v>0</v>
      </c>
      <c r="M405" s="170"/>
      <c r="N405" s="170">
        <f ca="1">IFERROR(__xludf.DUMMYFUNCTION("IMPORTRANGE(""https://docs.google.com/spreadsheets/d/1XL5vhW3sbDhbH9Cz0tuDiY8C3ctxq1tqvaCgkFb8cCA/edit?usp=sharing"",""ขอนแก่น!M300"")"),0)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IFERROR(__xludf.DUMMYFUNCTION("IMPORTRANGE(""https://docs.google.com/spreadsheets/d/1XL5vhW3sbDhbH9Cz0tuDiY8C3ctxq1tqvaCgkFb8cCA/edit?usp=sharing"",""ขอนแก่น!L301"")"),229140)</f>
        <v>229140</v>
      </c>
      <c r="M406" s="170"/>
      <c r="N406" s="170">
        <f ca="1">IFERROR(__xludf.DUMMYFUNCTION("IMPORTRANGE(""https://docs.google.com/spreadsheets/d/1XL5vhW3sbDhbH9Cz0tuDiY8C3ctxq1tqvaCgkFb8cCA/edit?usp=sharing"",""ขอนแก่น!M301"")"),23402)</f>
        <v>23402</v>
      </c>
      <c r="O406" s="170">
        <f t="shared" ca="1" si="112"/>
        <v>10.212970236536615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IFERROR(__xludf.DUMMYFUNCTION("IMPORTRANGE(""https://docs.google.com/spreadsheets/d/1XL5vhW3sbDhbH9Cz0tuDiY8C3ctxq1tqvaCgkFb8cCA/edit?usp=sharing"",""ขอนแก่น!M302"")"),14000)</f>
        <v>14000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IFERROR(__xludf.DUMMYFUNCTION("IMPORTRANGE(""https://docs.google.com/spreadsheets/d/1XL5vhW3sbDhbH9Cz0tuDiY8C3ctxq1tqvaCgkFb8cCA/edit?usp=sharing"",""ขอนแก่น!M303"")"),0)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IFERROR(__xludf.DUMMYFUNCTION("IMPORTRANGE(""https://docs.google.com/spreadsheets/d/1XL5vhW3sbDhbH9Cz0tuDiY8C3ctxq1tqvaCgkFb8cCA/edit?usp=sharing"",""ขอนแก่น!M305"")"),9402)</f>
        <v>9402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IFERROR(__xludf.DUMMYFUNCTION("IMPORTRANGE(""https://docs.google.com/spreadsheets/d/1XL5vhW3sbDhbH9Cz0tuDiY8C3ctxq1tqvaCgkFb8cCA/edit?usp=sharing"",""ขอนแก่น!J307"")"),0)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IFERROR(__xludf.DUMMYFUNCTION("IMPORTRANGE(""https://docs.google.com/spreadsheets/d/1XL5vhW3sbDhbH9Cz0tuDiY8C3ctxq1tqvaCgkFb8cCA/edit?usp=sharing"",""ขอนแก่น!J308"")"),1)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IFERROR(__xludf.DUMMYFUNCTION("IMPORTRANGE(""https://docs.google.com/spreadsheets/d/1XL5vhW3sbDhbH9Cz0tuDiY8C3ctxq1tqvaCgkFb8cCA/edit?usp=sharing"",""ขอนแก่น!J309"")"),1)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IFERROR(__xludf.DUMMYFUNCTION("IMPORTRANGE(""https://docs.google.com/spreadsheets/d/1XL5vhW3sbDhbH9Cz0tuDiY8C3ctxq1tqvaCgkFb8cCA/edit?usp=sharing"",""ขอนแก่น!J310"")"),0)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IFERROR(__xludf.DUMMYFUNCTION("IMPORTRANGE(""https://docs.google.com/spreadsheets/d/1XL5vhW3sbDhbH9Cz0tuDiY8C3ctxq1tqvaCgkFb8cCA/edit?usp=sharing"",""ขอนแก่น!I311"")"),68)</f>
        <v>68</v>
      </c>
      <c r="J416" s="202">
        <f ca="1">IFERROR(__xludf.DUMMYFUNCTION("IMPORTRANGE(""https://docs.google.com/spreadsheets/d/1XL5vhW3sbDhbH9Cz0tuDiY8C3ctxq1tqvaCgkFb8cCA/edit?usp=sharing"",""ขอนแก่น!J311"")"),0)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IFERROR(__xludf.DUMMYFUNCTION("IMPORTRANGE(""https://docs.google.com/spreadsheets/d/1XL5vhW3sbDhbH9Cz0tuDiY8C3ctxq1tqvaCgkFb8cCA/edit?usp=sharing"",""ขอนแก่น!J328"")"),0)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IFERROR(__xludf.DUMMYFUNCTION("IMPORTRANGE(""https://docs.google.com/spreadsheets/d/1XL5vhW3sbDhbH9Cz0tuDiY8C3ctxq1tqvaCgkFb8cCA/edit?usp=sharing"",""ขอนแก่น!M330"")"),6193.68)</f>
        <v>6193.68</v>
      </c>
      <c r="O435" s="412">
        <f t="shared" ref="O435:O439" ca="1" si="114">+IF(L435&gt;0,N435*100/L435,0)</f>
        <v>4.301166666666667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IFERROR(__xludf.DUMMYFUNCTION("IMPORTRANGE(""https://docs.google.com/spreadsheets/d/1XL5vhW3sbDhbH9Cz0tuDiY8C3ctxq1tqvaCgkFb8cCA/edit?usp=sharing"",""ขอนแก่น!L331"")"),0)</f>
        <v>0</v>
      </c>
      <c r="M436" s="166"/>
      <c r="N436" s="170">
        <f ca="1">IFERROR(__xludf.DUMMYFUNCTION("IMPORTRANGE(""https://docs.google.com/spreadsheets/d/1XL5vhW3sbDhbH9Cz0tuDiY8C3ctxq1tqvaCgkFb8cCA/edit?usp=sharing"",""ขอนแก่น!M331"")"),0)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IFERROR(__xludf.DUMMYFUNCTION("IMPORTRANGE(""https://docs.google.com/spreadsheets/d/1XL5vhW3sbDhbH9Cz0tuDiY8C3ctxq1tqvaCgkFb8cCA/edit?usp=sharing"",""ขอนแก่น!L332"")"),144000)</f>
        <v>144000</v>
      </c>
      <c r="M437" s="167"/>
      <c r="N437" s="170">
        <f ca="1">IFERROR(__xludf.DUMMYFUNCTION("IMPORTRANGE(""https://docs.google.com/spreadsheets/d/1XL5vhW3sbDhbH9Cz0tuDiY8C3ctxq1tqvaCgkFb8cCA/edit?usp=sharing"",""ขอนแก่น!M332"")"),6193.68)</f>
        <v>6193.68</v>
      </c>
      <c r="O437" s="170">
        <f t="shared" ca="1" si="114"/>
        <v>4.301166666666667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IFERROR(__xludf.DUMMYFUNCTION("IMPORTRANGE(""https://docs.google.com/spreadsheets/d/1XL5vhW3sbDhbH9Cz0tuDiY8C3ctxq1tqvaCgkFb8cCA/edit?usp=sharing"",""ขอนแก่น!L333"")"),0)</f>
        <v>0</v>
      </c>
      <c r="M438" s="170"/>
      <c r="N438" s="170">
        <f ca="1">IFERROR(__xludf.DUMMYFUNCTION("IMPORTRANGE(""https://docs.google.com/spreadsheets/d/1XL5vhW3sbDhbH9Cz0tuDiY8C3ctxq1tqvaCgkFb8cCA/edit?usp=sharing"",""ขอนแก่น!M333"")"),0)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IFERROR(__xludf.DUMMYFUNCTION("IMPORTRANGE(""https://docs.google.com/spreadsheets/d/1XL5vhW3sbDhbH9Cz0tuDiY8C3ctxq1tqvaCgkFb8cCA/edit?usp=sharing"",""ขอนแก่น!L334"")"),144000)</f>
        <v>144000</v>
      </c>
      <c r="M439" s="170"/>
      <c r="N439" s="170">
        <f ca="1">IFERROR(__xludf.DUMMYFUNCTION("IMPORTRANGE(""https://docs.google.com/spreadsheets/d/1XL5vhW3sbDhbH9Cz0tuDiY8C3ctxq1tqvaCgkFb8cCA/edit?usp=sharing"",""ขอนแก่น!M334"")"),6193.68)</f>
        <v>6193.68</v>
      </c>
      <c r="O439" s="170">
        <f t="shared" ca="1" si="114"/>
        <v>4.301166666666667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IFERROR(__xludf.DUMMYFUNCTION("IMPORTRANGE(""https://docs.google.com/spreadsheets/d/1XL5vhW3sbDhbH9Cz0tuDiY8C3ctxq1tqvaCgkFb8cCA/edit?usp=sharing"",""ขอนแก่น!M335"")"),0)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IFERROR(__xludf.DUMMYFUNCTION("IMPORTRANGE(""https://docs.google.com/spreadsheets/d/1XL5vhW3sbDhbH9Cz0tuDiY8C3ctxq1tqvaCgkFb8cCA/edit?usp=sharing"",""ขอนแก่น!M338"")"),6193.68)</f>
        <v>6193.68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IFERROR(__xludf.DUMMYFUNCTION("IMPORTRANGE(""https://docs.google.com/spreadsheets/d/1XL5vhW3sbDhbH9Cz0tuDiY8C3ctxq1tqvaCgkFb8cCA/edit?usp=sharing"",""ขอนแก่น!J342"")"),1)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IFERROR(__xludf.DUMMYFUNCTION("IMPORTRANGE(""https://docs.google.com/spreadsheets/d/1XL5vhW3sbDhbH9Cz0tuDiY8C3ctxq1tqvaCgkFb8cCA/edit?usp=sharing"",""ขอนแก่น!J343"")"),0)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2">
        <f ca="1">IFERROR(__xludf.DUMMYFUNCTION("IMPORTRANGE(""https://docs.google.com/spreadsheets/d/1XL5vhW3sbDhbH9Cz0tuDiY8C3ctxq1tqvaCgkFb8cCA/edit?usp=sharing"",""ขอนแก่น!J344"")"),0)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IFERROR(__xludf.DUMMYFUNCTION("IMPORTRANGE(""https://docs.google.com/spreadsheets/d/1XL5vhW3sbDhbH9Cz0tuDiY8C3ctxq1tqvaCgkFb8cCA/edit?usp=sharing"",""ขอนแก่น!I345"")"),40)</f>
        <v>40</v>
      </c>
      <c r="J450" s="190">
        <f ca="1">IFERROR(__xludf.DUMMYFUNCTION("IMPORTRANGE(""https://docs.google.com/spreadsheets/d/1XL5vhW3sbDhbH9Cz0tuDiY8C3ctxq1tqvaCgkFb8cCA/edit?usp=sharing"",""ขอนแก่น!J345"")"),0)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IFERROR(__xludf.DUMMYFUNCTION("IMPORTRANGE(""https://docs.google.com/spreadsheets/d/1XL5vhW3sbDhbH9Cz0tuDiY8C3ctxq1tqvaCgkFb8cCA/edit?usp=sharing"",""ขอนแก่น!I346"")"),0)</f>
        <v>0</v>
      </c>
      <c r="J451" s="189">
        <f ca="1">IFERROR(__xludf.DUMMYFUNCTION("IMPORTRANGE(""https://docs.google.com/spreadsheets/d/1XL5vhW3sbDhbH9Cz0tuDiY8C3ctxq1tqvaCgkFb8cCA/edit?usp=sharing"",""ขอนแก่น!J346"")"),0)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IFERROR(__xludf.DUMMYFUNCTION("IMPORTRANGE(""https://docs.google.com/spreadsheets/d/1XL5vhW3sbDhbH9Cz0tuDiY8C3ctxq1tqvaCgkFb8cCA/edit?usp=sharing"",""ขอนแก่น!I347"")"),0)</f>
        <v>0</v>
      </c>
      <c r="J452" s="189">
        <f ca="1">IFERROR(__xludf.DUMMYFUNCTION("IMPORTRANGE(""https://docs.google.com/spreadsheets/d/1XL5vhW3sbDhbH9Cz0tuDiY8C3ctxq1tqvaCgkFb8cCA/edit?usp=sharing"",""ขอนแก่น!J347"")"),0)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IFERROR(__xludf.DUMMYFUNCTION("IMPORTRANGE(""https://docs.google.com/spreadsheets/d/1XL5vhW3sbDhbH9Cz0tuDiY8C3ctxq1tqvaCgkFb8cCA/edit?usp=sharing"",""ขอนแก่น!J348"")"),0)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IFERROR(__xludf.DUMMYFUNCTION("IMPORTRANGE(""https://docs.google.com/spreadsheets/d/1XL5vhW3sbDhbH9Cz0tuDiY8C3ctxq1tqvaCgkFb8cCA/edit?usp=sharing"",""ขอนแก่น!L350"")"),597051)</f>
        <v>597051</v>
      </c>
      <c r="M455" s="373"/>
      <c r="N455" s="373">
        <f ca="1">IFERROR(__xludf.DUMMYFUNCTION("IMPORTRANGE(""https://docs.google.com/spreadsheets/d/1XL5vhW3sbDhbH9Cz0tuDiY8C3ctxq1tqvaCgkFb8cCA/edit?usp=sharing"",""ขอนแก่น!M350"")"),202895)</f>
        <v>202895</v>
      </c>
      <c r="O455" s="373">
        <f t="shared" ref="O455:O459" ca="1" si="116">+IF(L455&gt;0,N455*100/L455,0)</f>
        <v>33.982859085739747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IFERROR(__xludf.DUMMYFUNCTION("IMPORTRANGE(""https://docs.google.com/spreadsheets/d/1XL5vhW3sbDhbH9Cz0tuDiY8C3ctxq1tqvaCgkFb8cCA/edit?usp=sharing"",""ขอนแก่น!L351"")"),0)</f>
        <v>0</v>
      </c>
      <c r="M456" s="166"/>
      <c r="N456" s="170">
        <f ca="1">IFERROR(__xludf.DUMMYFUNCTION("IMPORTRANGE(""https://docs.google.com/spreadsheets/d/1XL5vhW3sbDhbH9Cz0tuDiY8C3ctxq1tqvaCgkFb8cCA/edit?usp=sharing"",""ขอนแก่น!M351"")"),0)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IFERROR(__xludf.DUMMYFUNCTION("IMPORTRANGE(""https://docs.google.com/spreadsheets/d/1XL5vhW3sbDhbH9Cz0tuDiY8C3ctxq1tqvaCgkFb8cCA/edit?usp=sharing"",""ขอนแก่น!L352"")"),597051)</f>
        <v>597051</v>
      </c>
      <c r="M457" s="167"/>
      <c r="N457" s="170">
        <f ca="1">IFERROR(__xludf.DUMMYFUNCTION("IMPORTRANGE(""https://docs.google.com/spreadsheets/d/1XL5vhW3sbDhbH9Cz0tuDiY8C3ctxq1tqvaCgkFb8cCA/edit?usp=sharing"",""ขอนแก่น!M352"")"),202895)</f>
        <v>202895</v>
      </c>
      <c r="O457" s="170">
        <f t="shared" ca="1" si="116"/>
        <v>33.982859085739747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IFERROR(__xludf.DUMMYFUNCTION("IMPORTRANGE(""https://docs.google.com/spreadsheets/d/1XL5vhW3sbDhbH9Cz0tuDiY8C3ctxq1tqvaCgkFb8cCA/edit?usp=sharing"",""ขอนแก่น!L353"")"),0)</f>
        <v>0</v>
      </c>
      <c r="M458" s="170"/>
      <c r="N458" s="170">
        <f ca="1">IFERROR(__xludf.DUMMYFUNCTION("IMPORTRANGE(""https://docs.google.com/spreadsheets/d/1XL5vhW3sbDhbH9Cz0tuDiY8C3ctxq1tqvaCgkFb8cCA/edit?usp=sharing"",""ขอนแก่น!M353"")"),0)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IFERROR(__xludf.DUMMYFUNCTION("IMPORTRANGE(""https://docs.google.com/spreadsheets/d/1XL5vhW3sbDhbH9Cz0tuDiY8C3ctxq1tqvaCgkFb8cCA/edit?usp=sharing"",""ขอนแก่น!L354"")"),597051)</f>
        <v>597051</v>
      </c>
      <c r="M459" s="170"/>
      <c r="N459" s="170">
        <f ca="1">IFERROR(__xludf.DUMMYFUNCTION("IMPORTRANGE(""https://docs.google.com/spreadsheets/d/1XL5vhW3sbDhbH9Cz0tuDiY8C3ctxq1tqvaCgkFb8cCA/edit?usp=sharing"",""ขอนแก่น!M354"")"),202895)</f>
        <v>202895</v>
      </c>
      <c r="O459" s="170">
        <f t="shared" ca="1" si="116"/>
        <v>33.982859085739747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IFERROR(__xludf.DUMMYFUNCTION("IMPORTRANGE(""https://docs.google.com/spreadsheets/d/1XL5vhW3sbDhbH9Cz0tuDiY8C3ctxq1tqvaCgkFb8cCA/edit?usp=sharing"",""ขอนแก่น!M355"")"),0)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IFERROR(__xludf.DUMMYFUNCTION("IMPORTRANGE(""https://docs.google.com/spreadsheets/d/1XL5vhW3sbDhbH9Cz0tuDiY8C3ctxq1tqvaCgkFb8cCA/edit?usp=sharing"",""ขอนแก่น!M356"")"),0)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IFERROR(__xludf.DUMMYFUNCTION("IMPORTRANGE(""https://docs.google.com/spreadsheets/d/1XL5vhW3sbDhbH9Cz0tuDiY8C3ctxq1tqvaCgkFb8cCA/edit?usp=sharing"",""ขอนแก่น!M357"")"),44000)</f>
        <v>44000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IFERROR(__xludf.DUMMYFUNCTION("IMPORTRANGE(""https://docs.google.com/spreadsheets/d/1XL5vhW3sbDhbH9Cz0tuDiY8C3ctxq1tqvaCgkFb8cCA/edit?usp=sharing"",""ขอนแก่น!M358"")"),158895)</f>
        <v>158895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3">
        <f t="shared" ca="1" si="117"/>
        <v>100.00017658484902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IFERROR(__xludf.DUMMYFUNCTION("IMPORTRANGE(""https://docs.google.com/spreadsheets/d/1XL5vhW3sbDhbH9Cz0tuDiY8C3ctxq1tqvaCgkFb8cCA/edit?usp=sharing"",""ขอนแก่น!I362"")"),0)</f>
        <v>0</v>
      </c>
      <c r="J467" s="190">
        <f ca="1">IFERROR(__xludf.DUMMYFUNCTION("IMPORTRANGE(""https://docs.google.com/spreadsheets/d/1XL5vhW3sbDhbH9Cz0tuDiY8C3ctxq1tqvaCgkFb8cCA/edit?usp=sharing"",""ขอนแก่น!J362"")"),53578)</f>
        <v>53578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IFERROR(__xludf.DUMMYFUNCTION("IMPORTRANGE(""https://docs.google.com/spreadsheets/d/1XL5vhW3sbDhbH9Cz0tuDiY8C3ctxq1tqvaCgkFb8cCA/edit?usp=sharing"",""ขอนแก่น!I363"")"),0)</f>
        <v>0</v>
      </c>
      <c r="J468" s="190">
        <f ca="1">IFERROR(__xludf.DUMMYFUNCTION("IMPORTRANGE(""https://docs.google.com/spreadsheets/d/1XL5vhW3sbDhbH9Cz0tuDiY8C3ctxq1tqvaCgkFb8cCA/edit?usp=sharing"",""ขอนแก่น!J363"")"),5708)</f>
        <v>5708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IFERROR(__xludf.DUMMYFUNCTION("IMPORTRANGE(""https://docs.google.com/spreadsheets/d/1XL5vhW3sbDhbH9Cz0tuDiY8C3ctxq1tqvaCgkFb8cCA/edit?usp=sharing"",""ขอนแก่น!I364"")"),0)</f>
        <v>0</v>
      </c>
      <c r="J469" s="190">
        <f ca="1">IFERROR(__xludf.DUMMYFUNCTION("IMPORTRANGE(""https://docs.google.com/spreadsheets/d/1XL5vhW3sbDhbH9Cz0tuDiY8C3ctxq1tqvaCgkFb8cCA/edit?usp=sharing"",""ขอนแก่น!J364"")"),5889.11)</f>
        <v>5889.11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IFERROR(__xludf.DUMMYFUNCTION("IMPORTRANGE(""https://docs.google.com/spreadsheets/d/1XL5vhW3sbDhbH9Cz0tuDiY8C3ctxq1tqvaCgkFb8cCA/edit?usp=sharing"",""ขอนแก่น!I365"")"),0)</f>
        <v>0</v>
      </c>
      <c r="J470" s="190">
        <f ca="1">IFERROR(__xludf.DUMMYFUNCTION("IMPORTRANGE(""https://docs.google.com/spreadsheets/d/1XL5vhW3sbDhbH9Cz0tuDiY8C3ctxq1tqvaCgkFb8cCA/edit?usp=sharing"",""ขอนแก่น!J365"")"),621)</f>
        <v>621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IFERROR(__xludf.DUMMYFUNCTION("IMPORTRANGE(""https://docs.google.com/spreadsheets/d/1XL5vhW3sbDhbH9Cz0tuDiY8C3ctxq1tqvaCgkFb8cCA/edit?usp=sharing"",""ขอนแก่น!I366"")"),0)</f>
        <v>0</v>
      </c>
      <c r="J471" s="190">
        <f ca="1">IFERROR(__xludf.DUMMYFUNCTION("IMPORTRANGE(""https://docs.google.com/spreadsheets/d/1XL5vhW3sbDhbH9Cz0tuDiY8C3ctxq1tqvaCgkFb8cCA/edit?usp=sharing"",""ขอนแก่น!J366"")"),2826)</f>
        <v>2826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IFERROR(__xludf.DUMMYFUNCTION("IMPORTRANGE(""https://docs.google.com/spreadsheets/d/1XL5vhW3sbDhbH9Cz0tuDiY8C3ctxq1tqvaCgkFb8cCA/edit?usp=sharing"",""ขอนแก่น!I367"")"),0)</f>
        <v>0</v>
      </c>
      <c r="J472" s="190">
        <f ca="1">IFERROR(__xludf.DUMMYFUNCTION("IMPORTRANGE(""https://docs.google.com/spreadsheets/d/1XL5vhW3sbDhbH9Cz0tuDiY8C3ctxq1tqvaCgkFb8cCA/edit?usp=sharing"",""ขอนแก่น!J367"")"),233)</f>
        <v>233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IFERROR(__xludf.DUMMYFUNCTION("IMPORTRANGE(""https://docs.google.com/spreadsheets/d/1XL5vhW3sbDhbH9Cz0tuDiY8C3ctxq1tqvaCgkFb8cCA/edit?usp=sharing"",""ขอนแก่น!J368"")"),8742.33)</f>
        <v>8742.33</v>
      </c>
      <c r="K473" s="203">
        <f t="shared" ca="1" si="117"/>
        <v>14.034209301205593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IFERROR(__xludf.DUMMYFUNCTION("IMPORTRANGE(""https://docs.google.com/spreadsheets/d/1XL5vhW3sbDhbH9Cz0tuDiY8C3ctxq1tqvaCgkFb8cCA/edit?usp=sharing"",""ขอนแก่น!J369"")"),831)</f>
        <v>831</v>
      </c>
      <c r="K474" s="165">
        <f t="shared" ca="1" si="117"/>
        <v>12.663822005486132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IFERROR(__xludf.DUMMYFUNCTION("IMPORTRANGE(""https://docs.google.com/spreadsheets/d/1XL5vhW3sbDhbH9Cz0tuDiY8C3ctxq1tqvaCgkFb8cCA/edit?usp=sharing"",""ขอนแก่น!I370"")"),0)</f>
        <v>0</v>
      </c>
      <c r="J475" s="190">
        <f ca="1">IFERROR(__xludf.DUMMYFUNCTION("IMPORTRANGE(""https://docs.google.com/spreadsheets/d/1XL5vhW3sbDhbH9Cz0tuDiY8C3ctxq1tqvaCgkFb8cCA/edit?usp=sharing"",""ขอนแก่น!J370"")"),8413)</f>
        <v>8413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IFERROR(__xludf.DUMMYFUNCTION("IMPORTRANGE(""https://docs.google.com/spreadsheets/d/1XL5vhW3sbDhbH9Cz0tuDiY8C3ctxq1tqvaCgkFb8cCA/edit?usp=sharing"",""ขอนแก่น!I371"")"),0)</f>
        <v>0</v>
      </c>
      <c r="J476" s="190">
        <f ca="1">IFERROR(__xludf.DUMMYFUNCTION("IMPORTRANGE(""https://docs.google.com/spreadsheets/d/1XL5vhW3sbDhbH9Cz0tuDiY8C3ctxq1tqvaCgkFb8cCA/edit?usp=sharing"",""ขอนแก่น!J371"")"),802)</f>
        <v>802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IFERROR(__xludf.DUMMYFUNCTION("IMPORTRANGE(""https://docs.google.com/spreadsheets/d/1XL5vhW3sbDhbH9Cz0tuDiY8C3ctxq1tqvaCgkFb8cCA/edit?usp=sharing"",""ขอนแก่น!I372"")"),0)</f>
        <v>0</v>
      </c>
      <c r="J477" s="190">
        <f ca="1">IFERROR(__xludf.DUMMYFUNCTION("IMPORTRANGE(""https://docs.google.com/spreadsheets/d/1XL5vhW3sbDhbH9Cz0tuDiY8C3ctxq1tqvaCgkFb8cCA/edit?usp=sharing"",""ขอนแก่น!J372"")"),43.33)</f>
        <v>43.33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IFERROR(__xludf.DUMMYFUNCTION("IMPORTRANGE(""https://docs.google.com/spreadsheets/d/1XL5vhW3sbDhbH9Cz0tuDiY8C3ctxq1tqvaCgkFb8cCA/edit?usp=sharing"",""ขอนแก่น!I373"")"),0)</f>
        <v>0</v>
      </c>
      <c r="J478" s="190">
        <f ca="1">IFERROR(__xludf.DUMMYFUNCTION("IMPORTRANGE(""https://docs.google.com/spreadsheets/d/1XL5vhW3sbDhbH9Cz0tuDiY8C3ctxq1tqvaCgkFb8cCA/edit?usp=sharing"",""ขอนแก่น!J373"")"),6)</f>
        <v>6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IFERROR(__xludf.DUMMYFUNCTION("IMPORTRANGE(""https://docs.google.com/spreadsheets/d/1XL5vhW3sbDhbH9Cz0tuDiY8C3ctxq1tqvaCgkFb8cCA/edit?usp=sharing"",""ขอนแก่น!I374"")"),0)</f>
        <v>0</v>
      </c>
      <c r="J479" s="190">
        <f ca="1">IFERROR(__xludf.DUMMYFUNCTION("IMPORTRANGE(""https://docs.google.com/spreadsheets/d/1XL5vhW3sbDhbH9Cz0tuDiY8C3ctxq1tqvaCgkFb8cCA/edit?usp=sharing"",""ขอนแก่น!J374"")"),286)</f>
        <v>286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IFERROR(__xludf.DUMMYFUNCTION("IMPORTRANGE(""https://docs.google.com/spreadsheets/d/1XL5vhW3sbDhbH9Cz0tuDiY8C3ctxq1tqvaCgkFb8cCA/edit?usp=sharing"",""ขอนแก่น!I375"")"),0)</f>
        <v>0</v>
      </c>
      <c r="J480" s="190">
        <f ca="1">IFERROR(__xludf.DUMMYFUNCTION("IMPORTRANGE(""https://docs.google.com/spreadsheets/d/1XL5vhW3sbDhbH9Cz0tuDiY8C3ctxq1tqvaCgkFb8cCA/edit?usp=sharing"",""ขอนแก่น!J375"")"),23)</f>
        <v>23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IFERROR(__xludf.DUMMYFUNCTION("IMPORTRANGE(""https://docs.google.com/spreadsheets/d/1XL5vhW3sbDhbH9Cz0tuDiY8C3ctxq1tqvaCgkFb8cCA/edit?usp=sharing"",""ขอนแก่น!I378"")"),0)</f>
        <v>0</v>
      </c>
      <c r="J483" s="190">
        <f ca="1">IFERROR(__xludf.DUMMYFUNCTION("IMPORTRANGE(""https://docs.google.com/spreadsheets/d/1XL5vhW3sbDhbH9Cz0tuDiY8C3ctxq1tqvaCgkFb8cCA/edit?usp=sharing"",""ขอนแก่น!J378"")"),0)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IFERROR(__xludf.DUMMYFUNCTION("IMPORTRANGE(""https://docs.google.com/spreadsheets/d/1XL5vhW3sbDhbH9Cz0tuDiY8C3ctxq1tqvaCgkFb8cCA/edit?usp=sharing"",""ขอนแก่น!I379"")"),0)</f>
        <v>0</v>
      </c>
      <c r="J484" s="190">
        <f ca="1">IFERROR(__xludf.DUMMYFUNCTION("IMPORTRANGE(""https://docs.google.com/spreadsheets/d/1XL5vhW3sbDhbH9Cz0tuDiY8C3ctxq1tqvaCgkFb8cCA/edit?usp=sharing"",""ขอนแก่น!J379"")"),0)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IFERROR(__xludf.DUMMYFUNCTION("IMPORTRANGE(""https://docs.google.com/spreadsheets/d/1XL5vhW3sbDhbH9Cz0tuDiY8C3ctxq1tqvaCgkFb8cCA/edit?usp=sharing"",""ขอนแก่น!I380"")"),0)</f>
        <v>0</v>
      </c>
      <c r="J485" s="190">
        <f ca="1">IFERROR(__xludf.DUMMYFUNCTION("IMPORTRANGE(""https://docs.google.com/spreadsheets/d/1XL5vhW3sbDhbH9Cz0tuDiY8C3ctxq1tqvaCgkFb8cCA/edit?usp=sharing"",""ขอนแก่น!J380"")"),0)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IFERROR(__xludf.DUMMYFUNCTION("IMPORTRANGE(""https://docs.google.com/spreadsheets/d/1XL5vhW3sbDhbH9Cz0tuDiY8C3ctxq1tqvaCgkFb8cCA/edit?usp=sharing"",""ขอนแก่น!I381"")"),0)</f>
        <v>0</v>
      </c>
      <c r="J486" s="190">
        <f ca="1">IFERROR(__xludf.DUMMYFUNCTION("IMPORTRANGE(""https://docs.google.com/spreadsheets/d/1XL5vhW3sbDhbH9Cz0tuDiY8C3ctxq1tqvaCgkFb8cCA/edit?usp=sharing"",""ขอนแก่น!J381"")"),0)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IFERROR(__xludf.DUMMYFUNCTION("IMPORTRANGE(""https://docs.google.com/spreadsheets/d/1XL5vhW3sbDhbH9Cz0tuDiY8C3ctxq1tqvaCgkFb8cCA/edit?usp=sharing"",""ขอนแก่น!I384"")"),0)</f>
        <v>0</v>
      </c>
      <c r="J489" s="190">
        <f ca="1">IFERROR(__xludf.DUMMYFUNCTION("IMPORTRANGE(""https://docs.google.com/spreadsheets/d/1XL5vhW3sbDhbH9Cz0tuDiY8C3ctxq1tqvaCgkFb8cCA/edit?usp=sharing"",""ขอนแก่น!J384"")"),0)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IFERROR(__xludf.DUMMYFUNCTION("IMPORTRANGE(""https://docs.google.com/spreadsheets/d/1XL5vhW3sbDhbH9Cz0tuDiY8C3ctxq1tqvaCgkFb8cCA/edit?usp=sharing"",""ขอนแก่น!I385"")"),0)</f>
        <v>0</v>
      </c>
      <c r="J490" s="190">
        <f ca="1">IFERROR(__xludf.DUMMYFUNCTION("IMPORTRANGE(""https://docs.google.com/spreadsheets/d/1XL5vhW3sbDhbH9Cz0tuDiY8C3ctxq1tqvaCgkFb8cCA/edit?usp=sharing"",""ขอนแก่น!J385"")"),0)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IFERROR(__xludf.DUMMYFUNCTION("IMPORTRANGE(""https://docs.google.com/spreadsheets/d/1XL5vhW3sbDhbH9Cz0tuDiY8C3ctxq1tqvaCgkFb8cCA/edit?usp=sharing"",""ขอนแก่น!I386"")"),0)</f>
        <v>0</v>
      </c>
      <c r="J491" s="190">
        <f ca="1">IFERROR(__xludf.DUMMYFUNCTION("IMPORTRANGE(""https://docs.google.com/spreadsheets/d/1XL5vhW3sbDhbH9Cz0tuDiY8C3ctxq1tqvaCgkFb8cCA/edit?usp=sharing"",""ขอนแก่น!J386"")"),0)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IFERROR(__xludf.DUMMYFUNCTION("IMPORTRANGE(""https://docs.google.com/spreadsheets/d/1XL5vhW3sbDhbH9Cz0tuDiY8C3ctxq1tqvaCgkFb8cCA/edit?usp=sharing"",""ขอนแก่น!I387"")"),0)</f>
        <v>0</v>
      </c>
      <c r="J492" s="190">
        <f ca="1">IFERROR(__xludf.DUMMYFUNCTION("IMPORTRANGE(""https://docs.google.com/spreadsheets/d/1XL5vhW3sbDhbH9Cz0tuDiY8C3ctxq1tqvaCgkFb8cCA/edit?usp=sharing"",""ขอนแก่น!J387"")"),0)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IFERROR(__xludf.DUMMYFUNCTION("IMPORTRANGE(""https://docs.google.com/spreadsheets/d/1XL5vhW3sbDhbH9Cz0tuDiY8C3ctxq1tqvaCgkFb8cCA/edit?usp=sharing"",""ขอนแก่น!I388"")"),0)</f>
        <v>0</v>
      </c>
      <c r="J493" s="190">
        <f ca="1">IFERROR(__xludf.DUMMYFUNCTION("IMPORTRANGE(""https://docs.google.com/spreadsheets/d/1XL5vhW3sbDhbH9Cz0tuDiY8C3ctxq1tqvaCgkFb8cCA/edit?usp=sharing"",""ขอนแก่น!J388"")"),0)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165">
        <f t="shared" ca="1" si="117"/>
        <v>100.51282051282051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IFERROR(__xludf.DUMMYFUNCTION("IMPORTRANGE(""https://docs.google.com/spreadsheets/d/1XL5vhW3sbDhbH9Cz0tuDiY8C3ctxq1tqvaCgkFb8cCA/edit?usp=sharing"",""ขอนแก่น!I395"")"),0)</f>
        <v>0</v>
      </c>
      <c r="J500" s="164">
        <f ca="1">IFERROR(__xludf.DUMMYFUNCTION("IMPORTRANGE(""https://docs.google.com/spreadsheets/d/1XL5vhW3sbDhbH9Cz0tuDiY8C3ctxq1tqvaCgkFb8cCA/edit?usp=sharing"",""ขอนแก่น!J395"")"),194)</f>
        <v>194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IFERROR(__xludf.DUMMYFUNCTION("IMPORTRANGE(""https://docs.google.com/spreadsheets/d/1XL5vhW3sbDhbH9Cz0tuDiY8C3ctxq1tqvaCgkFb8cCA/edit?usp=sharing"",""ขอนแก่น!I396"")"),0)</f>
        <v>0</v>
      </c>
      <c r="J501" s="164">
        <f ca="1">IFERROR(__xludf.DUMMYFUNCTION("IMPORTRANGE(""https://docs.google.com/spreadsheets/d/1XL5vhW3sbDhbH9Cz0tuDiY8C3ctxq1tqvaCgkFb8cCA/edit?usp=sharing"",""ขอนแก่น!J396"")"),20)</f>
        <v>20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IFERROR(__xludf.DUMMYFUNCTION("IMPORTRANGE(""https://docs.google.com/spreadsheets/d/1XL5vhW3sbDhbH9Cz0tuDiY8C3ctxq1tqvaCgkFb8cCA/edit?usp=sharing"",""ขอนแก่น!I397"")"),0)</f>
        <v>0</v>
      </c>
      <c r="J502" s="190">
        <f ca="1">IFERROR(__xludf.DUMMYFUNCTION("IMPORTRANGE(""https://docs.google.com/spreadsheets/d/1XL5vhW3sbDhbH9Cz0tuDiY8C3ctxq1tqvaCgkFb8cCA/edit?usp=sharing"",""ขอนแก่น!J397"")"),155)</f>
        <v>155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IFERROR(__xludf.DUMMYFUNCTION("IMPORTRANGE(""https://docs.google.com/spreadsheets/d/1XL5vhW3sbDhbH9Cz0tuDiY8C3ctxq1tqvaCgkFb8cCA/edit?usp=sharing"",""ขอนแก่น!I398"")"),0)</f>
        <v>0</v>
      </c>
      <c r="J503" s="199">
        <f ca="1">IFERROR(__xludf.DUMMYFUNCTION("IMPORTRANGE(""https://docs.google.com/spreadsheets/d/1XL5vhW3sbDhbH9Cz0tuDiY8C3ctxq1tqvaCgkFb8cCA/edit?usp=sharing"",""ขอนแก่น!J398"")"),17)</f>
        <v>17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IFERROR(__xludf.DUMMYFUNCTION("IMPORTRANGE(""https://docs.google.com/spreadsheets/d/1XL5vhW3sbDhbH9Cz0tuDiY8C3ctxq1tqvaCgkFb8cCA/edit?usp=sharing"",""ขอนแก่น!I399"")"),0)</f>
        <v>0</v>
      </c>
      <c r="J504" s="190">
        <f ca="1">IFERROR(__xludf.DUMMYFUNCTION("IMPORTRANGE(""https://docs.google.com/spreadsheets/d/1XL5vhW3sbDhbH9Cz0tuDiY8C3ctxq1tqvaCgkFb8cCA/edit?usp=sharing"",""ขอนแก่น!J399"")"),39)</f>
        <v>39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IFERROR(__xludf.DUMMYFUNCTION("IMPORTRANGE(""https://docs.google.com/spreadsheets/d/1XL5vhW3sbDhbH9Cz0tuDiY8C3ctxq1tqvaCgkFb8cCA/edit?usp=sharing"",""ขอนแก่น!I400"")"),0)</f>
        <v>0</v>
      </c>
      <c r="J505" s="199">
        <f ca="1">IFERROR(__xludf.DUMMYFUNCTION("IMPORTRANGE(""https://docs.google.com/spreadsheets/d/1XL5vhW3sbDhbH9Cz0tuDiY8C3ctxq1tqvaCgkFb8cCA/edit?usp=sharing"",""ขอนแก่น!J400"")"),3)</f>
        <v>3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IFERROR(__xludf.DUMMYFUNCTION("IMPORTRANGE(""https://docs.google.com/spreadsheets/d/1XL5vhW3sbDhbH9Cz0tuDiY8C3ctxq1tqvaCgkFb8cCA/edit?usp=sharing"",""ขอนแก่น!I401"")"),0)</f>
        <v>0</v>
      </c>
      <c r="J506" s="190">
        <f ca="1">IFERROR(__xludf.DUMMYFUNCTION("IMPORTRANGE(""https://docs.google.com/spreadsheets/d/1XL5vhW3sbDhbH9Cz0tuDiY8C3ctxq1tqvaCgkFb8cCA/edit?usp=sharing"",""ขอนแก่น!J401"")"),0)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IFERROR(__xludf.DUMMYFUNCTION("IMPORTRANGE(""https://docs.google.com/spreadsheets/d/1XL5vhW3sbDhbH9Cz0tuDiY8C3ctxq1tqvaCgkFb8cCA/edit?usp=sharing"",""ขอนแก่น!I402"")"),0)</f>
        <v>0</v>
      </c>
      <c r="J507" s="199">
        <f ca="1">IFERROR(__xludf.DUMMYFUNCTION("IMPORTRANGE(""https://docs.google.com/spreadsheets/d/1XL5vhW3sbDhbH9Cz0tuDiY8C3ctxq1tqvaCgkFb8cCA/edit?usp=sharing"",""ขอนแก่น!J402"")"),0)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IFERROR(__xludf.DUMMYFUNCTION("IMPORTRANGE(""https://docs.google.com/spreadsheets/d/1XL5vhW3sbDhbH9Cz0tuDiY8C3ctxq1tqvaCgkFb8cCA/edit?usp=sharing"",""ขอนแก่น!I403"")"),0)</f>
        <v>0</v>
      </c>
      <c r="J508" s="164">
        <f ca="1">IFERROR(__xludf.DUMMYFUNCTION("IMPORTRANGE(""https://docs.google.com/spreadsheets/d/1XL5vhW3sbDhbH9Cz0tuDiY8C3ctxq1tqvaCgkFb8cCA/edit?usp=sharing"",""ขอนแก่น!J403"")"),0)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IFERROR(__xludf.DUMMYFUNCTION("IMPORTRANGE(""https://docs.google.com/spreadsheets/d/1XL5vhW3sbDhbH9Cz0tuDiY8C3ctxq1tqvaCgkFb8cCA/edit?usp=sharing"",""ขอนแก่น!I404"")"),0)</f>
        <v>0</v>
      </c>
      <c r="J509" s="164">
        <f ca="1">IFERROR(__xludf.DUMMYFUNCTION("IMPORTRANGE(""https://docs.google.com/spreadsheets/d/1XL5vhW3sbDhbH9Cz0tuDiY8C3ctxq1tqvaCgkFb8cCA/edit?usp=sharing"",""ขอนแก่น!J404"")"),0)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IFERROR(__xludf.DUMMYFUNCTION("IMPORTRANGE(""https://docs.google.com/spreadsheets/d/1XL5vhW3sbDhbH9Cz0tuDiY8C3ctxq1tqvaCgkFb8cCA/edit?usp=sharing"",""ขอนแก่น!I405"")"),0)</f>
        <v>0</v>
      </c>
      <c r="J510" s="199">
        <f ca="1">IFERROR(__xludf.DUMMYFUNCTION("IMPORTRANGE(""https://docs.google.com/spreadsheets/d/1XL5vhW3sbDhbH9Cz0tuDiY8C3ctxq1tqvaCgkFb8cCA/edit?usp=sharing"",""ขอนแก่น!J405"")"),0)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IFERROR(__xludf.DUMMYFUNCTION("IMPORTRANGE(""https://docs.google.com/spreadsheets/d/1XL5vhW3sbDhbH9Cz0tuDiY8C3ctxq1tqvaCgkFb8cCA/edit?usp=sharing"",""ขอนแก่น!I406"")"),0)</f>
        <v>0</v>
      </c>
      <c r="J511" s="199">
        <f ca="1">IFERROR(__xludf.DUMMYFUNCTION("IMPORTRANGE(""https://docs.google.com/spreadsheets/d/1XL5vhW3sbDhbH9Cz0tuDiY8C3ctxq1tqvaCgkFb8cCA/edit?usp=sharing"",""ขอนแก่น!J406"")"),0)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IFERROR(__xludf.DUMMYFUNCTION("IMPORTRANGE(""https://docs.google.com/spreadsheets/d/1XL5vhW3sbDhbH9Cz0tuDiY8C3ctxq1tqvaCgkFb8cCA/edit?usp=sharing"",""ขอนแก่น!I407"")"),0)</f>
        <v>0</v>
      </c>
      <c r="J512" s="199">
        <f ca="1">IFERROR(__xludf.DUMMYFUNCTION("IMPORTRANGE(""https://docs.google.com/spreadsheets/d/1XL5vhW3sbDhbH9Cz0tuDiY8C3ctxq1tqvaCgkFb8cCA/edit?usp=sharing"",""ขอนแก่น!J407"")"),0)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IFERROR(__xludf.DUMMYFUNCTION("IMPORTRANGE(""https://docs.google.com/spreadsheets/d/1XL5vhW3sbDhbH9Cz0tuDiY8C3ctxq1tqvaCgkFb8cCA/edit?usp=sharing"",""ขอนแก่น!I408"")"),0)</f>
        <v>0</v>
      </c>
      <c r="J513" s="199">
        <f ca="1">IFERROR(__xludf.DUMMYFUNCTION("IMPORTRANGE(""https://docs.google.com/spreadsheets/d/1XL5vhW3sbDhbH9Cz0tuDiY8C3ctxq1tqvaCgkFb8cCA/edit?usp=sharing"",""ขอนแก่น!J408"")"),0)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IFERROR(__xludf.DUMMYFUNCTION("IMPORTRANGE(""https://docs.google.com/spreadsheets/d/1XL5vhW3sbDhbH9Cz0tuDiY8C3ctxq1tqvaCgkFb8cCA/edit?usp=sharing"",""ขอนแก่น!I409"")"),0)</f>
        <v>0</v>
      </c>
      <c r="J514" s="199">
        <f ca="1">IFERROR(__xludf.DUMMYFUNCTION("IMPORTRANGE(""https://docs.google.com/spreadsheets/d/1XL5vhW3sbDhbH9Cz0tuDiY8C3ctxq1tqvaCgkFb8cCA/edit?usp=sharing"",""ขอนแก่น!J409"")"),2)</f>
        <v>2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IFERROR(__xludf.DUMMYFUNCTION("IMPORTRANGE(""https://docs.google.com/spreadsheets/d/1XL5vhW3sbDhbH9Cz0tuDiY8C3ctxq1tqvaCgkFb8cCA/edit?usp=sharing"",""ขอนแก่น!I410"")"),0)</f>
        <v>0</v>
      </c>
      <c r="J515" s="199">
        <f ca="1">IFERROR(__xludf.DUMMYFUNCTION("IMPORTRANGE(""https://docs.google.com/spreadsheets/d/1XL5vhW3sbDhbH9Cz0tuDiY8C3ctxq1tqvaCgkFb8cCA/edit?usp=sharing"",""ขอนแก่น!J410"")"),1)</f>
        <v>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IFERROR(__xludf.DUMMYFUNCTION("IMPORTRANGE(""https://docs.google.com/spreadsheets/d/1XL5vhW3sbDhbH9Cz0tuDiY8C3ctxq1tqvaCgkFb8cCA/edit?usp=sharing"",""ขอนแก่น!I412"")"),0)</f>
        <v>0</v>
      </c>
      <c r="J517" s="284">
        <f ca="1">IFERROR(__xludf.DUMMYFUNCTION("IMPORTRANGE(""https://docs.google.com/spreadsheets/d/1XL5vhW3sbDhbH9Cz0tuDiY8C3ctxq1tqvaCgkFb8cCA/edit?usp=sharing"",""ขอนแก่น!J412"")"),0)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IFERROR(__xludf.DUMMYFUNCTION("IMPORTRANGE(""https://docs.google.com/spreadsheets/d/1XL5vhW3sbDhbH9Cz0tuDiY8C3ctxq1tqvaCgkFb8cCA/edit?usp=sharing"",""ขอนแก่น!I413"")"),0)</f>
        <v>0</v>
      </c>
      <c r="J518" s="284">
        <f ca="1">IFERROR(__xludf.DUMMYFUNCTION("IMPORTRANGE(""https://docs.google.com/spreadsheets/d/1XL5vhW3sbDhbH9Cz0tuDiY8C3ctxq1tqvaCgkFb8cCA/edit?usp=sharing"",""ขอนแก่น!J413"")"),0)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IFERROR(__xludf.DUMMYFUNCTION("IMPORTRANGE(""https://docs.google.com/spreadsheets/d/1XL5vhW3sbDhbH9Cz0tuDiY8C3ctxq1tqvaCgkFb8cCA/edit?usp=sharing"",""ขอนแก่น!I414"")"),0)</f>
        <v>0</v>
      </c>
      <c r="J519" s="189">
        <f ca="1">IFERROR(__xludf.DUMMYFUNCTION("IMPORTRANGE(""https://docs.google.com/spreadsheets/d/1XL5vhW3sbDhbH9Cz0tuDiY8C3ctxq1tqvaCgkFb8cCA/edit?usp=sharing"",""ขอนแก่น!J414"")"),0)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IFERROR(__xludf.DUMMYFUNCTION("IMPORTRANGE(""https://docs.google.com/spreadsheets/d/1XL5vhW3sbDhbH9Cz0tuDiY8C3ctxq1tqvaCgkFb8cCA/edit?usp=sharing"",""ขอนแก่น!I415"")"),0)</f>
        <v>0</v>
      </c>
      <c r="J520" s="189">
        <f ca="1">IFERROR(__xludf.DUMMYFUNCTION("IMPORTRANGE(""https://docs.google.com/spreadsheets/d/1XL5vhW3sbDhbH9Cz0tuDiY8C3ctxq1tqvaCgkFb8cCA/edit?usp=sharing"",""ขอนแก่น!J415"")"),0)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IFERROR(__xludf.DUMMYFUNCTION("IMPORTRANGE(""https://docs.google.com/spreadsheets/d/1XL5vhW3sbDhbH9Cz0tuDiY8C3ctxq1tqvaCgkFb8cCA/edit?usp=sharing"",""ขอนแก่น!I416"")"),0)</f>
        <v>0</v>
      </c>
      <c r="J521" s="189">
        <f ca="1">IFERROR(__xludf.DUMMYFUNCTION("IMPORTRANGE(""https://docs.google.com/spreadsheets/d/1XL5vhW3sbDhbH9Cz0tuDiY8C3ctxq1tqvaCgkFb8cCA/edit?usp=sharing"",""ขอนแก่น!J416"")"),0)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IFERROR(__xludf.DUMMYFUNCTION("IMPORTRANGE(""https://docs.google.com/spreadsheets/d/1XL5vhW3sbDhbH9Cz0tuDiY8C3ctxq1tqvaCgkFb8cCA/edit?usp=sharing"",""ขอนแก่น!I417"")"),0)</f>
        <v>0</v>
      </c>
      <c r="J522" s="189">
        <f ca="1">IFERROR(__xludf.DUMMYFUNCTION("IMPORTRANGE(""https://docs.google.com/spreadsheets/d/1XL5vhW3sbDhbH9Cz0tuDiY8C3ctxq1tqvaCgkFb8cCA/edit?usp=sharing"",""ขอนแก่น!J417"")"),0)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IFERROR(__xludf.DUMMYFUNCTION("IMPORTRANGE(""https://docs.google.com/spreadsheets/d/1XL5vhW3sbDhbH9Cz0tuDiY8C3ctxq1tqvaCgkFb8cCA/edit?usp=sharing"",""ขอนแก่น!I418"")"),0)</f>
        <v>0</v>
      </c>
      <c r="J523" s="189">
        <f ca="1">IFERROR(__xludf.DUMMYFUNCTION("IMPORTRANGE(""https://docs.google.com/spreadsheets/d/1XL5vhW3sbDhbH9Cz0tuDiY8C3ctxq1tqvaCgkFb8cCA/edit?usp=sharing"",""ขอนแก่น!J418"")"),14)</f>
        <v>14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IFERROR(__xludf.DUMMYFUNCTION("IMPORTRANGE(""https://docs.google.com/spreadsheets/d/1XL5vhW3sbDhbH9Cz0tuDiY8C3ctxq1tqvaCgkFb8cCA/edit?usp=sharing"",""ขอนแก่น!I419"")"),0)</f>
        <v>0</v>
      </c>
      <c r="J524" s="189">
        <f ca="1">IFERROR(__xludf.DUMMYFUNCTION("IMPORTRANGE(""https://docs.google.com/spreadsheets/d/1XL5vhW3sbDhbH9Cz0tuDiY8C3ctxq1tqvaCgkFb8cCA/edit?usp=sharing"",""ขอนแก่น!J419"")"),1)</f>
        <v>1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IFERROR(__xludf.DUMMYFUNCTION("IMPORTRANGE(""https://docs.google.com/spreadsheets/d/1XL5vhW3sbDhbH9Cz0tuDiY8C3ctxq1tqvaCgkFb8cCA/edit?usp=sharing"",""ขอนแก่น!I420"")"),14)</f>
        <v>14</v>
      </c>
      <c r="J525" s="284">
        <f ca="1">IFERROR(__xludf.DUMMYFUNCTION("IMPORTRANGE(""https://docs.google.com/spreadsheets/d/1XL5vhW3sbDhbH9Cz0tuDiY8C3ctxq1tqvaCgkFb8cCA/edit?usp=sharing"",""ขอนแก่น!J420"")"),0)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IFERROR(__xludf.DUMMYFUNCTION("IMPORTRANGE(""https://docs.google.com/spreadsheets/d/1XL5vhW3sbDhbH9Cz0tuDiY8C3ctxq1tqvaCgkFb8cCA/edit?usp=sharing"",""ขอนแก่น!I421"")"),1)</f>
        <v>1</v>
      </c>
      <c r="J526" s="284">
        <f ca="1">IFERROR(__xludf.DUMMYFUNCTION("IMPORTRANGE(""https://docs.google.com/spreadsheets/d/1XL5vhW3sbDhbH9Cz0tuDiY8C3ctxq1tqvaCgkFb8cCA/edit?usp=sharing"",""ขอนแก่น!J421"")"),0)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IFERROR(__xludf.DUMMYFUNCTION("IMPORTRANGE(""https://docs.google.com/spreadsheets/d/1XL5vhW3sbDhbH9Cz0tuDiY8C3ctxq1tqvaCgkFb8cCA/edit?usp=sharing"",""ขอนแก่น!I422"")"),0)</f>
        <v>0</v>
      </c>
      <c r="J527" s="199">
        <f ca="1">IFERROR(__xludf.DUMMYFUNCTION("IMPORTRANGE(""https://docs.google.com/spreadsheets/d/1XL5vhW3sbDhbH9Cz0tuDiY8C3ctxq1tqvaCgkFb8cCA/edit?usp=sharing"",""ขอนแก่น!J422"")"),0)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IFERROR(__xludf.DUMMYFUNCTION("IMPORTRANGE(""https://docs.google.com/spreadsheets/d/1XL5vhW3sbDhbH9Cz0tuDiY8C3ctxq1tqvaCgkFb8cCA/edit?usp=sharing"",""ขอนแก่น!I423"")"),0)</f>
        <v>0</v>
      </c>
      <c r="J528" s="199">
        <f ca="1">IFERROR(__xludf.DUMMYFUNCTION("IMPORTRANGE(""https://docs.google.com/spreadsheets/d/1XL5vhW3sbDhbH9Cz0tuDiY8C3ctxq1tqvaCgkFb8cCA/edit?usp=sharing"",""ขอนแก่น!J423"")"),0)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IFERROR(__xludf.DUMMYFUNCTION("IMPORTRANGE(""https://docs.google.com/spreadsheets/d/1XL5vhW3sbDhbH9Cz0tuDiY8C3ctxq1tqvaCgkFb8cCA/edit?usp=sharing"",""ขอนแก่น!I424"")"),0)</f>
        <v>0</v>
      </c>
      <c r="J529" s="199">
        <f ca="1">IFERROR(__xludf.DUMMYFUNCTION("IMPORTRANGE(""https://docs.google.com/spreadsheets/d/1XL5vhW3sbDhbH9Cz0tuDiY8C3ctxq1tqvaCgkFb8cCA/edit?usp=sharing"",""ขอนแก่น!J424"")"),0)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IFERROR(__xludf.DUMMYFUNCTION("IMPORTRANGE(""https://docs.google.com/spreadsheets/d/1XL5vhW3sbDhbH9Cz0tuDiY8C3ctxq1tqvaCgkFb8cCA/edit?usp=sharing"",""ขอนแก่น!I425"")"),0)</f>
        <v>0</v>
      </c>
      <c r="J530" s="199">
        <f ca="1">IFERROR(__xludf.DUMMYFUNCTION("IMPORTRANGE(""https://docs.google.com/spreadsheets/d/1XL5vhW3sbDhbH9Cz0tuDiY8C3ctxq1tqvaCgkFb8cCA/edit?usp=sharing"",""ขอนแก่น!J425"")"),0)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IFERROR(__xludf.DUMMYFUNCTION("IMPORTRANGE(""https://docs.google.com/spreadsheets/d/1XL5vhW3sbDhbH9Cz0tuDiY8C3ctxq1tqvaCgkFb8cCA/edit?usp=sharing"",""ขอนแก่น!I426"")"),0)</f>
        <v>0</v>
      </c>
      <c r="J531" s="199">
        <f ca="1">IFERROR(__xludf.DUMMYFUNCTION("IMPORTRANGE(""https://docs.google.com/spreadsheets/d/1XL5vhW3sbDhbH9Cz0tuDiY8C3ctxq1tqvaCgkFb8cCA/edit?usp=sharing"",""ขอนแก่น!J426"")"),0)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IFERROR(__xludf.DUMMYFUNCTION("IMPORTRANGE(""https://docs.google.com/spreadsheets/d/1XL5vhW3sbDhbH9Cz0tuDiY8C3ctxq1tqvaCgkFb8cCA/edit?usp=sharing"",""ขอนแก่น!L429"")"),0)</f>
        <v>0</v>
      </c>
      <c r="M534" s="166"/>
      <c r="N534" s="170">
        <f ca="1">IFERROR(__xludf.DUMMYFUNCTION("IMPORTRANGE(""https://docs.google.com/spreadsheets/d/1XL5vhW3sbDhbH9Cz0tuDiY8C3ctxq1tqvaCgkFb8cCA/edit?usp=sharing"",""ขอนแก่น!M429"")"),0)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IFERROR(__xludf.DUMMYFUNCTION("IMPORTRANGE(""https://docs.google.com/spreadsheets/d/1XL5vhW3sbDhbH9Cz0tuDiY8C3ctxq1tqvaCgkFb8cCA/edit?usp=sharing"",""ขอนแก่น!L430"")"),37740)</f>
        <v>37740</v>
      </c>
      <c r="M535" s="167"/>
      <c r="N535" s="170">
        <f ca="1">IFERROR(__xludf.DUMMYFUNCTION("IMPORTRANGE(""https://docs.google.com/spreadsheets/d/1XL5vhW3sbDhbH9Cz0tuDiY8C3ctxq1tqvaCgkFb8cCA/edit?usp=sharing"",""ขอนแก่น!M430"")"),21773)</f>
        <v>21773</v>
      </c>
      <c r="O535" s="170">
        <f t="shared" ca="1" si="118"/>
        <v>57.692103868574456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IFERROR(__xludf.DUMMYFUNCTION("IMPORTRANGE(""https://docs.google.com/spreadsheets/d/1XL5vhW3sbDhbH9Cz0tuDiY8C3ctxq1tqvaCgkFb8cCA/edit?usp=sharing"",""ขอนแก่น!L431"")"),0)</f>
        <v>0</v>
      </c>
      <c r="M536" s="170"/>
      <c r="N536" s="170">
        <f ca="1">IFERROR(__xludf.DUMMYFUNCTION("IMPORTRANGE(""https://docs.google.com/spreadsheets/d/1XL5vhW3sbDhbH9Cz0tuDiY8C3ctxq1tqvaCgkFb8cCA/edit?usp=sharing"",""ขอนแก่น!M431"")"),0)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IFERROR(__xludf.DUMMYFUNCTION("IMPORTRANGE(""https://docs.google.com/spreadsheets/d/1XL5vhW3sbDhbH9Cz0tuDiY8C3ctxq1tqvaCgkFb8cCA/edit?usp=sharing"",""ขอนแก่น!L432"")"),37740)</f>
        <v>37740</v>
      </c>
      <c r="M537" s="170"/>
      <c r="N537" s="170">
        <f ca="1">IFERROR(__xludf.DUMMYFUNCTION("IMPORTRANGE(""https://docs.google.com/spreadsheets/d/1XL5vhW3sbDhbH9Cz0tuDiY8C3ctxq1tqvaCgkFb8cCA/edit?usp=sharing"",""ขอนแก่น!M432"")"),21773)</f>
        <v>21773</v>
      </c>
      <c r="O537" s="170">
        <f t="shared" ca="1" si="118"/>
        <v>57.692103868574456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IFERROR(__xludf.DUMMYFUNCTION("IMPORTRANGE(""https://docs.google.com/spreadsheets/d/1XL5vhW3sbDhbH9Cz0tuDiY8C3ctxq1tqvaCgkFb8cCA/edit?usp=sharing"",""ขอนแก่น!J438"")"),0)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IFERROR(__xludf.DUMMYFUNCTION("IMPORTRANGE(""https://docs.google.com/spreadsheets/d/1XL5vhW3sbDhbH9Cz0tuDiY8C3ctxq1tqvaCgkFb8cCA/edit?usp=sharing"",""ขอนแก่น!J439"")"),1)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IFERROR(__xludf.DUMMYFUNCTION("IMPORTRANGE(""https://docs.google.com/spreadsheets/d/1XL5vhW3sbDhbH9Cz0tuDiY8C3ctxq1tqvaCgkFb8cCA/edit?usp=sharing"",""ขอนแก่น!J440"")"),1)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IFERROR(__xludf.DUMMYFUNCTION("IMPORTRANGE(""https://docs.google.com/spreadsheets/d/1XL5vhW3sbDhbH9Cz0tuDiY8C3ctxq1tqvaCgkFb8cCA/edit?usp=sharing"",""ขอนแก่น!J441"")"),1)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IFERROR(__xludf.DUMMYFUNCTION("IMPORTRANGE(""https://docs.google.com/spreadsheets/d/1XL5vhW3sbDhbH9Cz0tuDiY8C3ctxq1tqvaCgkFb8cCA/edit?usp=sharing"",""ขอนแก่น!I442"")"),26)</f>
        <v>26</v>
      </c>
      <c r="J547" s="190">
        <f ca="1">IFERROR(__xludf.DUMMYFUNCTION("IMPORTRANGE(""https://docs.google.com/spreadsheets/d/1XL5vhW3sbDhbH9Cz0tuDiY8C3ctxq1tqvaCgkFb8cCA/edit?usp=sharing"",""ขอนแก่น!J442"")"),26)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IFERROR(__xludf.DUMMYFUNCTION("IMPORTRANGE(""https://docs.google.com/spreadsheets/d/1XL5vhW3sbDhbH9Cz0tuDiY8C3ctxq1tqvaCgkFb8cCA/edit?usp=sharing"",""ขอนแก่น!J166"")"),0)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IFERROR(__xludf.DUMMYFUNCTION("IMPORTRANGE(""https://docs.google.com/spreadsheets/d/1XL5vhW3sbDhbH9Cz0tuDiY8C3ctxq1tqvaCgkFb8cCA/edit?usp=sharing"",""ขอนแก่น!J444"")"),0)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IFERROR(__xludf.DUMMYFUNCTION("IMPORTRANGE(""https://docs.google.com/spreadsheets/d/1XL5vhW3sbDhbH9Cz0tuDiY8C3ctxq1tqvaCgkFb8cCA/edit?usp=sharing"",""ขอนแก่น!L447"")"),0)</f>
        <v>0</v>
      </c>
      <c r="M552" s="166"/>
      <c r="N552" s="170">
        <f ca="1">IFERROR(__xludf.DUMMYFUNCTION("IMPORTRANGE(""https://docs.google.com/spreadsheets/d/1XL5vhW3sbDhbH9Cz0tuDiY8C3ctxq1tqvaCgkFb8cCA/edit?usp=sharing"",""ขอนแก่น!M447"")"),0)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IFERROR(__xludf.DUMMYFUNCTION("IMPORTRANGE(""https://docs.google.com/spreadsheets/d/1XL5vhW3sbDhbH9Cz0tuDiY8C3ctxq1tqvaCgkFb8cCA/edit?usp=sharing"",""ขอนแก่น!L448"")"),0)</f>
        <v>0</v>
      </c>
      <c r="M553" s="167"/>
      <c r="N553" s="170">
        <f ca="1">IFERROR(__xludf.DUMMYFUNCTION("IMPORTRANGE(""https://docs.google.com/spreadsheets/d/1XL5vhW3sbDhbH9Cz0tuDiY8C3ctxq1tqvaCgkFb8cCA/edit?usp=sharing"",""ขอนแก่น!M448"")"),0)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IFERROR(__xludf.DUMMYFUNCTION("IMPORTRANGE(""https://docs.google.com/spreadsheets/d/1XL5vhW3sbDhbH9Cz0tuDiY8C3ctxq1tqvaCgkFb8cCA/edit?usp=sharing"",""ขอนแก่น!L449"")"),0)</f>
        <v>0</v>
      </c>
      <c r="M554" s="170"/>
      <c r="N554" s="170">
        <f ca="1">IFERROR(__xludf.DUMMYFUNCTION("IMPORTRANGE(""https://docs.google.com/spreadsheets/d/1XL5vhW3sbDhbH9Cz0tuDiY8C3ctxq1tqvaCgkFb8cCA/edit?usp=sharing"",""ขอนแก่น!M449"")"),0)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IFERROR(__xludf.DUMMYFUNCTION("IMPORTRANGE(""https://docs.google.com/spreadsheets/d/1XL5vhW3sbDhbH9Cz0tuDiY8C3ctxq1tqvaCgkFb8cCA/edit?usp=sharing"",""ขอนแก่น!L450"")"),0)</f>
        <v>0</v>
      </c>
      <c r="M555" s="170"/>
      <c r="N555" s="170">
        <f ca="1">IFERROR(__xludf.DUMMYFUNCTION("IMPORTRANGE(""https://docs.google.com/spreadsheets/d/1XL5vhW3sbDhbH9Cz0tuDiY8C3ctxq1tqvaCgkFb8cCA/edit?usp=sharing"",""ขอนแก่น!M450"")"),0)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IFERROR(__xludf.DUMMYFUNCTION("IMPORTRANGE(""https://docs.google.com/spreadsheets/d/1XL5vhW3sbDhbH9Cz0tuDiY8C3ctxq1tqvaCgkFb8cCA/edit?usp=sharing"",""ขอนแก่น!M451"")"),0)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IFERROR(__xludf.DUMMYFUNCTION("IMPORTRANGE(""https://docs.google.com/spreadsheets/d/1XL5vhW3sbDhbH9Cz0tuDiY8C3ctxq1tqvaCgkFb8cCA/edit?usp=sharing"",""ขอนแก่น!M452"")"),0)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IFERROR(__xludf.DUMMYFUNCTION("IMPORTRANGE(""https://docs.google.com/spreadsheets/d/1XL5vhW3sbDhbH9Cz0tuDiY8C3ctxq1tqvaCgkFb8cCA/edit?usp=sharing"",""ขอนแก่น!M453"")"),0)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IFERROR(__xludf.DUMMYFUNCTION("IMPORTRANGE(""https://docs.google.com/spreadsheets/d/1XL5vhW3sbDhbH9Cz0tuDiY8C3ctxq1tqvaCgkFb8cCA/edit?usp=sharing"",""ขอนแก่น!M454"")"),0)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IFERROR(__xludf.DUMMYFUNCTION("IMPORTRANGE(""https://docs.google.com/spreadsheets/d/1XL5vhW3sbDhbH9Cz0tuDiY8C3ctxq1tqvaCgkFb8cCA/edit?usp=sharing"",""ขอนแก่น!I455"")"),0)</f>
        <v>0</v>
      </c>
      <c r="J560" s="164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IFERROR(__xludf.DUMMYFUNCTION("IMPORTRANGE(""https://docs.google.com/spreadsheets/d/1XL5vhW3sbDhbH9Cz0tuDiY8C3ctxq1tqvaCgkFb8cCA/edit?usp=sharing"",""ขอนแก่น!I456"")"),0)</f>
        <v>0</v>
      </c>
      <c r="J561" s="205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IFERROR(__xludf.DUMMYFUNCTION("IMPORTRANGE(""https://docs.google.com/spreadsheets/d/1XL5vhW3sbDhbH9Cz0tuDiY8C3ctxq1tqvaCgkFb8cCA/edit?usp=sharing"",""ขอนแก่น!I457"")"),0)</f>
        <v>0</v>
      </c>
      <c r="J562" s="205" t="str">
        <f ca="1">IFERROR(__xludf.DUMMYFUNCTION("IMPORTRANGE(""https://docs.google.com/spreadsheets/d/1XL5vhW3sbDhbH9Cz0tuDiY8C3ctxq1tqvaCgkFb8cCA/edit?usp=sharing"",""ขอนแก่น!J457"")"),"")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IFERROR(__xludf.DUMMYFUNCTION("IMPORTRANGE(""https://docs.google.com/spreadsheets/d/1XL5vhW3sbDhbH9Cz0tuDiY8C3ctxq1tqvaCgkFb8cCA/edit?usp=sharing"",""ขอนแก่น!I458"")"),0)</f>
        <v>0</v>
      </c>
      <c r="J563" s="189" t="str">
        <f ca="1">IFERROR(__xludf.DUMMYFUNCTION("IMPORTRANGE(""https://docs.google.com/spreadsheets/d/1XL5vhW3sbDhbH9Cz0tuDiY8C3ctxq1tqvaCgkFb8cCA/edit?usp=sharing"",""ขอนแก่น!J458"")"),"")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IFERROR(__xludf.DUMMYFUNCTION("IMPORTRANGE(""https://docs.google.com/spreadsheets/d/1XL5vhW3sbDhbH9Cz0tuDiY8C3ctxq1tqvaCgkFb8cCA/edit?usp=sharing"",""ขอนแก่น!J459"")"),1125)</f>
        <v>1125</v>
      </c>
      <c r="K564" s="372">
        <f t="shared" ca="1" si="121"/>
        <v>37.5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IFERROR(__xludf.DUMMYFUNCTION("IMPORTRANGE(""https://docs.google.com/spreadsheets/d/1XL5vhW3sbDhbH9Cz0tuDiY8C3ctxq1tqvaCgkFb8cCA/edit?usp=sharing"",""ขอนแก่น!M459"")"),72289.28)</f>
        <v>72289.279999999999</v>
      </c>
      <c r="O564" s="373">
        <f t="shared" ref="O564:O568" ca="1" si="122">+IF(L564&gt;0,N564*100/L564,0)</f>
        <v>43.443076923076923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IFERROR(__xludf.DUMMYFUNCTION("IMPORTRANGE(""https://docs.google.com/spreadsheets/d/1XL5vhW3sbDhbH9Cz0tuDiY8C3ctxq1tqvaCgkFb8cCA/edit?usp=sharing"",""ขอนแก่น!L460"")"),0)</f>
        <v>0</v>
      </c>
      <c r="M565" s="166"/>
      <c r="N565" s="170">
        <f ca="1">IFERROR(__xludf.DUMMYFUNCTION("IMPORTRANGE(""https://docs.google.com/spreadsheets/d/1XL5vhW3sbDhbH9Cz0tuDiY8C3ctxq1tqvaCgkFb8cCA/edit?usp=sharing"",""ขอนแก่น!M460"")"),0)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IFERROR(__xludf.DUMMYFUNCTION("IMPORTRANGE(""https://docs.google.com/spreadsheets/d/1XL5vhW3sbDhbH9Cz0tuDiY8C3ctxq1tqvaCgkFb8cCA/edit?usp=sharing"",""ขอนแก่น!L461"")"),166400)</f>
        <v>166400</v>
      </c>
      <c r="M566" s="167"/>
      <c r="N566" s="170">
        <f ca="1">IFERROR(__xludf.DUMMYFUNCTION("IMPORTRANGE(""https://docs.google.com/spreadsheets/d/1XL5vhW3sbDhbH9Cz0tuDiY8C3ctxq1tqvaCgkFb8cCA/edit?usp=sharing"",""ขอนแก่น!M461"")"),72289.28)</f>
        <v>72289.279999999999</v>
      </c>
      <c r="O566" s="170">
        <f t="shared" ca="1" si="122"/>
        <v>43.443076923076923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IFERROR(__xludf.DUMMYFUNCTION("IMPORTRANGE(""https://docs.google.com/spreadsheets/d/1XL5vhW3sbDhbH9Cz0tuDiY8C3ctxq1tqvaCgkFb8cCA/edit?usp=sharing"",""ขอนแก่น!L462"")"),0)</f>
        <v>0</v>
      </c>
      <c r="M567" s="170"/>
      <c r="N567" s="170">
        <f ca="1">IFERROR(__xludf.DUMMYFUNCTION("IMPORTRANGE(""https://docs.google.com/spreadsheets/d/1XL5vhW3sbDhbH9Cz0tuDiY8C3ctxq1tqvaCgkFb8cCA/edit?usp=sharing"",""ขอนแก่น!M462"")"),0)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IFERROR(__xludf.DUMMYFUNCTION("IMPORTRANGE(""https://docs.google.com/spreadsheets/d/1XL5vhW3sbDhbH9Cz0tuDiY8C3ctxq1tqvaCgkFb8cCA/edit?usp=sharing"",""ขอนแก่น!L463"")"),166400)</f>
        <v>166400</v>
      </c>
      <c r="M568" s="170"/>
      <c r="N568" s="170">
        <f ca="1">IFERROR(__xludf.DUMMYFUNCTION("IMPORTRANGE(""https://docs.google.com/spreadsheets/d/1XL5vhW3sbDhbH9Cz0tuDiY8C3ctxq1tqvaCgkFb8cCA/edit?usp=sharing"",""ขอนแก่น!M463"")"),72289.28)</f>
        <v>72289.279999999999</v>
      </c>
      <c r="O568" s="170">
        <f t="shared" ca="1" si="122"/>
        <v>43.443076923076923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IFERROR(__xludf.DUMMYFUNCTION("IMPORTRANGE(""https://docs.google.com/spreadsheets/d/1XL5vhW3sbDhbH9Cz0tuDiY8C3ctxq1tqvaCgkFb8cCA/edit?usp=sharing"",""ขอนแก่น!M464"")"),0)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IFERROR(__xludf.DUMMYFUNCTION("IMPORTRANGE(""https://docs.google.com/spreadsheets/d/1XL5vhW3sbDhbH9Cz0tuDiY8C3ctxq1tqvaCgkFb8cCA/edit?usp=sharing"",""ขอนแก่น!M465"")"),0)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IFERROR(__xludf.DUMMYFUNCTION("IMPORTRANGE(""https://docs.google.com/spreadsheets/d/1XL5vhW3sbDhbH9Cz0tuDiY8C3ctxq1tqvaCgkFb8cCA/edit?usp=sharing"",""ขอนแก่น!M466"")"),52466.28)</f>
        <v>52466.28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IFERROR(__xludf.DUMMYFUNCTION("IMPORTRANGE(""https://docs.google.com/spreadsheets/d/1XL5vhW3sbDhbH9Cz0tuDiY8C3ctxq1tqvaCgkFb8cCA/edit?usp=sharing"",""ขอนแก่น!M467"")"),19823)</f>
        <v>19823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IFERROR(__xludf.DUMMYFUNCTION("IMPORTRANGE(""https://docs.google.com/spreadsheets/d/1XL5vhW3sbDhbH9Cz0tuDiY8C3ctxq1tqvaCgkFb8cCA/edit?usp=sharing"",""ขอนแก่น!J468"")"),1125)</f>
        <v>1125</v>
      </c>
      <c r="K573" s="203">
        <f ca="1">IF(I573&gt;0,J573*100/I573,0)</f>
        <v>37.5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IFERROR(__xludf.DUMMYFUNCTION("IMPORTRANGE(""https://docs.google.com/spreadsheets/d/1XL5vhW3sbDhbH9Cz0tuDiY8C3ctxq1tqvaCgkFb8cCA/edit?usp=sharing"",""ขอนแก่น!I470"")"),0)</f>
        <v>0</v>
      </c>
      <c r="J575" s="199">
        <f ca="1">IFERROR(__xludf.DUMMYFUNCTION("IMPORTRANGE(""https://docs.google.com/spreadsheets/d/1XL5vhW3sbDhbH9Cz0tuDiY8C3ctxq1tqvaCgkFb8cCA/edit?usp=sharing"",""ขอนแก่น!J470"")"),4)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IFERROR(__xludf.DUMMYFUNCTION("IMPORTRANGE(""https://docs.google.com/spreadsheets/d/1XL5vhW3sbDhbH9Cz0tuDiY8C3ctxq1tqvaCgkFb8cCA/edit?usp=sharing"",""ขอนแก่น!I471"")"),0)</f>
        <v>0</v>
      </c>
      <c r="J576" s="199">
        <f ca="1">IFERROR(__xludf.DUMMYFUNCTION("IMPORTRANGE(""https://docs.google.com/spreadsheets/d/1XL5vhW3sbDhbH9Cz0tuDiY8C3ctxq1tqvaCgkFb8cCA/edit?usp=sharing"",""ขอนแก่น!J471"")"),374)</f>
        <v>374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IFERROR(__xludf.DUMMYFUNCTION("IMPORTRANGE(""https://docs.google.com/spreadsheets/d/1XL5vhW3sbDhbH9Cz0tuDiY8C3ctxq1tqvaCgkFb8cCA/edit?usp=sharing"",""ขอนแก่น!I472"")"),0)</f>
        <v>0</v>
      </c>
      <c r="J577" s="190">
        <f ca="1">IFERROR(__xludf.DUMMYFUNCTION("IMPORTRANGE(""https://docs.google.com/spreadsheets/d/1XL5vhW3sbDhbH9Cz0tuDiY8C3ctxq1tqvaCgkFb8cCA/edit?usp=sharing"",""ขอนแก่น!J472"")"),750)</f>
        <v>750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IFERROR(__xludf.DUMMYFUNCTION("IMPORTRANGE(""https://docs.google.com/spreadsheets/d/1XL5vhW3sbDhbH9Cz0tuDiY8C3ctxq1tqvaCgkFb8cCA/edit?usp=sharing"",""ขอนแก่น!I473"")"),0)</f>
        <v>0</v>
      </c>
      <c r="J578" s="199">
        <f ca="1">IFERROR(__xludf.DUMMYFUNCTION("IMPORTRANGE(""https://docs.google.com/spreadsheets/d/1XL5vhW3sbDhbH9Cz0tuDiY8C3ctxq1tqvaCgkFb8cCA/edit?usp=sharing"",""ขอนแก่น!J473"")"),1)</f>
        <v>1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IFERROR(__xludf.DUMMYFUNCTION("IMPORTRANGE(""https://docs.google.com/spreadsheets/d/1XL5vhW3sbDhbH9Cz0tuDiY8C3ctxq1tqvaCgkFb8cCA/edit?usp=sharing"",""ขอนแก่น!I474"")"),0)</f>
        <v>0</v>
      </c>
      <c r="J579" s="199">
        <f ca="1">IFERROR(__xludf.DUMMYFUNCTION("IMPORTRANGE(""https://docs.google.com/spreadsheets/d/1XL5vhW3sbDhbH9Cz0tuDiY8C3ctxq1tqvaCgkFb8cCA/edit?usp=sharing"",""ขอนแก่น!J474"")"),0)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IFERROR(__xludf.DUMMYFUNCTION("IMPORTRANGE(""https://docs.google.com/spreadsheets/d/1XL5vhW3sbDhbH9Cz0tuDiY8C3ctxq1tqvaCgkFb8cCA/edit?usp=sharing"",""ขอนแก่น!L476"")"),0)</f>
        <v>0</v>
      </c>
      <c r="M581" s="166"/>
      <c r="N581" s="170">
        <f ca="1">IFERROR(__xludf.DUMMYFUNCTION("IMPORTRANGE(""https://docs.google.com/spreadsheets/d/1XL5vhW3sbDhbH9Cz0tuDiY8C3ctxq1tqvaCgkFb8cCA/edit?usp=sharing"",""ขอนแก่น!M476"")"),0)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IFERROR(__xludf.DUMMYFUNCTION("IMPORTRANGE(""https://docs.google.com/spreadsheets/d/1XL5vhW3sbDhbH9Cz0tuDiY8C3ctxq1tqvaCgkFb8cCA/edit?usp=sharing"",""ขอนแก่น!L477"")"),172040)</f>
        <v>172040</v>
      </c>
      <c r="M582" s="167"/>
      <c r="N582" s="170">
        <f ca="1">IFERROR(__xludf.DUMMYFUNCTION("IMPORTRANGE(""https://docs.google.com/spreadsheets/d/1XL5vhW3sbDhbH9Cz0tuDiY8C3ctxq1tqvaCgkFb8cCA/edit?usp=sharing"",""ขอนแก่น!M477"")"),0)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IFERROR(__xludf.DUMMYFUNCTION("IMPORTRANGE(""https://docs.google.com/spreadsheets/d/1XL5vhW3sbDhbH9Cz0tuDiY8C3ctxq1tqvaCgkFb8cCA/edit?usp=sharing"",""ขอนแก่น!L478"")"),0)</f>
        <v>0</v>
      </c>
      <c r="M583" s="170"/>
      <c r="N583" s="170">
        <f ca="1">IFERROR(__xludf.DUMMYFUNCTION("IMPORTRANGE(""https://docs.google.com/spreadsheets/d/1XL5vhW3sbDhbH9Cz0tuDiY8C3ctxq1tqvaCgkFb8cCA/edit?usp=sharing"",""ขอนแก่น!M478"")"),0)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IFERROR(__xludf.DUMMYFUNCTION("IMPORTRANGE(""https://docs.google.com/spreadsheets/d/1XL5vhW3sbDhbH9Cz0tuDiY8C3ctxq1tqvaCgkFb8cCA/edit?usp=sharing"",""ขอนแก่น!L479"")"),172040)</f>
        <v>172040</v>
      </c>
      <c r="M584" s="170"/>
      <c r="N584" s="170">
        <f ca="1">IFERROR(__xludf.DUMMYFUNCTION("IMPORTRANGE(""https://docs.google.com/spreadsheets/d/1XL5vhW3sbDhbH9Cz0tuDiY8C3ctxq1tqvaCgkFb8cCA/edit?usp=sharing"",""ขอนแก่น!M479"")"),0)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IFERROR(__xludf.DUMMYFUNCTION("IMPORTRANGE(""https://docs.google.com/spreadsheets/d/1XL5vhW3sbDhbH9Cz0tuDiY8C3ctxq1tqvaCgkFb8cCA/edit?usp=sharing"",""ขอนแก่น!M480"")"),0)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IFERROR(__xludf.DUMMYFUNCTION("IMPORTRANGE(""https://docs.google.com/spreadsheets/d/1XL5vhW3sbDhbH9Cz0tuDiY8C3ctxq1tqvaCgkFb8cCA/edit?usp=sharing"",""ขอนแก่น!M481"")"),0)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IFERROR(__xludf.DUMMYFUNCTION("IMPORTRANGE(""https://docs.google.com/spreadsheets/d/1XL5vhW3sbDhbH9Cz0tuDiY8C3ctxq1tqvaCgkFb8cCA/edit?usp=sharing"",""ขอนแก่น!M482"")"),0)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IFERROR(__xludf.DUMMYFUNCTION("IMPORTRANGE(""https://docs.google.com/spreadsheets/d/1XL5vhW3sbDhbH9Cz0tuDiY8C3ctxq1tqvaCgkFb8cCA/edit?usp=sharing"",""ขอนแก่น!M483"")"),0)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IFERROR(__xludf.DUMMYFUNCTION("IMPORTRANGE(""https://docs.google.com/spreadsheets/d/1XL5vhW3sbDhbH9Cz0tuDiY8C3ctxq1tqvaCgkFb8cCA/edit?usp=sharing"",""ขอนแก่น!I484"")"),40)</f>
        <v>40</v>
      </c>
      <c r="J589" s="189">
        <f ca="1">IFERROR(__xludf.DUMMYFUNCTION("IMPORTRANGE(""https://docs.google.com/spreadsheets/d/1XL5vhW3sbDhbH9Cz0tuDiY8C3ctxq1tqvaCgkFb8cCA/edit?usp=sharing"",""ขอนแก่น!J484"")"),0)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9">
        <f ca="1">IFERROR(__xludf.DUMMYFUNCTION("IMPORTRANGE(""https://docs.google.com/spreadsheets/d/1XL5vhW3sbDhbH9Cz0tuDiY8C3ctxq1tqvaCgkFb8cCA/edit?usp=sharing"",""ขอนแก่น!J485"")"),0)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IFERROR(__xludf.DUMMYFUNCTION("IMPORTRANGE(""https://docs.google.com/spreadsheets/d/1XL5vhW3sbDhbH9Cz0tuDiY8C3ctxq1tqvaCgkFb8cCA/edit?usp=sharing"",""ขอนแก่น!I486"")"),40)</f>
        <v>40</v>
      </c>
      <c r="J591" s="189">
        <f ca="1">IFERROR(__xludf.DUMMYFUNCTION("IMPORTRANGE(""https://docs.google.com/spreadsheets/d/1XL5vhW3sbDhbH9Cz0tuDiY8C3ctxq1tqvaCgkFb8cCA/edit?usp=sharing"",""ขอนแก่น!J486"")"),0)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9">
        <f ca="1">IFERROR(__xludf.DUMMYFUNCTION("IMPORTRANGE(""https://docs.google.com/spreadsheets/d/1XL5vhW3sbDhbH9Cz0tuDiY8C3ctxq1tqvaCgkFb8cCA/edit?usp=sharing"",""ขอนแก่น!J487"")"),0)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IFERROR(__xludf.DUMMYFUNCTION("IMPORTRANGE(""https://docs.google.com/spreadsheets/d/1XL5vhW3sbDhbH9Cz0tuDiY8C3ctxq1tqvaCgkFb8cCA/edit?usp=sharing"",""ขอนแก่น!I488"")"),40)</f>
        <v>40</v>
      </c>
      <c r="J593" s="189">
        <f ca="1">IFERROR(__xludf.DUMMYFUNCTION("IMPORTRANGE(""https://docs.google.com/spreadsheets/d/1XL5vhW3sbDhbH9Cz0tuDiY8C3ctxq1tqvaCgkFb8cCA/edit?usp=sharing"",""ขอนแก่น!J488"")"),0)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9">
        <f ca="1">IFERROR(__xludf.DUMMYFUNCTION("IMPORTRANGE(""https://docs.google.com/spreadsheets/d/1XL5vhW3sbDhbH9Cz0tuDiY8C3ctxq1tqvaCgkFb8cCA/edit?usp=sharing"",""ขอนแก่น!J489"")"),0)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IFERROR(__xludf.DUMMYFUNCTION("IMPORTRANGE(""https://docs.google.com/spreadsheets/d/1XL5vhW3sbDhbH9Cz0tuDiY8C3ctxq1tqvaCgkFb8cCA/edit?usp=sharing"",""ขอนแก่น!I490"")"),40)</f>
        <v>40</v>
      </c>
      <c r="J595" s="189">
        <f ca="1">IFERROR(__xludf.DUMMYFUNCTION("IMPORTRANGE(""https://docs.google.com/spreadsheets/d/1XL5vhW3sbDhbH9Cz0tuDiY8C3ctxq1tqvaCgkFb8cCA/edit?usp=sharing"",""ขอนแก่น!J490"")"),0)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7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IFERROR(__xludf.DUMMYFUNCTION("IMPORTRANGE(""https://docs.google.com/spreadsheets/d/1XL5vhW3sbDhbH9Cz0tuDiY8C3ctxq1tqvaCgkFb8cCA/edit?usp=sharing"",""ขอนแก่น!M492"")"),5450)</f>
        <v>5450</v>
      </c>
      <c r="O597" s="412">
        <f t="shared" ref="O597:O601" ca="1" si="126">+IF(L597&gt;0,N597*100/L597,0)</f>
        <v>51.904761904761905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IFERROR(__xludf.DUMMYFUNCTION("IMPORTRANGE(""https://docs.google.com/spreadsheets/d/1XL5vhW3sbDhbH9Cz0tuDiY8C3ctxq1tqvaCgkFb8cCA/edit?usp=sharing"",""ขอนแก่น!L493"")"),0)</f>
        <v>0</v>
      </c>
      <c r="M598" s="166"/>
      <c r="N598" s="170">
        <f ca="1">IFERROR(__xludf.DUMMYFUNCTION("IMPORTRANGE(""https://docs.google.com/spreadsheets/d/1XL5vhW3sbDhbH9Cz0tuDiY8C3ctxq1tqvaCgkFb8cCA/edit?usp=sharing"",""ขอนแก่น!M493"")"),0)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IFERROR(__xludf.DUMMYFUNCTION("IMPORTRANGE(""https://docs.google.com/spreadsheets/d/1XL5vhW3sbDhbH9Cz0tuDiY8C3ctxq1tqvaCgkFb8cCA/edit?usp=sharing"",""ขอนแก่น!L494"")"),10500)</f>
        <v>10500</v>
      </c>
      <c r="M599" s="167"/>
      <c r="N599" s="170">
        <f ca="1">IFERROR(__xludf.DUMMYFUNCTION("IMPORTRANGE(""https://docs.google.com/spreadsheets/d/1XL5vhW3sbDhbH9Cz0tuDiY8C3ctxq1tqvaCgkFb8cCA/edit?usp=sharing"",""ขอนแก่น!M494"")"),5450)</f>
        <v>5450</v>
      </c>
      <c r="O599" s="170">
        <f t="shared" ca="1" si="126"/>
        <v>51.904761904761905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IFERROR(__xludf.DUMMYFUNCTION("IMPORTRANGE(""https://docs.google.com/spreadsheets/d/1XL5vhW3sbDhbH9Cz0tuDiY8C3ctxq1tqvaCgkFb8cCA/edit?usp=sharing"",""ขอนแก่น!L495"")"),0)</f>
        <v>0</v>
      </c>
      <c r="M600" s="170"/>
      <c r="N600" s="170">
        <f ca="1">IFERROR(__xludf.DUMMYFUNCTION("IMPORTRANGE(""https://docs.google.com/spreadsheets/d/1XL5vhW3sbDhbH9Cz0tuDiY8C3ctxq1tqvaCgkFb8cCA/edit?usp=sharing"",""ขอนแก่น!M495"")"),0)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IFERROR(__xludf.DUMMYFUNCTION("IMPORTRANGE(""https://docs.google.com/spreadsheets/d/1XL5vhW3sbDhbH9Cz0tuDiY8C3ctxq1tqvaCgkFb8cCA/edit?usp=sharing"",""ขอนแก่น!L496"")"),10500)</f>
        <v>10500</v>
      </c>
      <c r="M601" s="170"/>
      <c r="N601" s="170">
        <f ca="1">IFERROR(__xludf.DUMMYFUNCTION("IMPORTRANGE(""https://docs.google.com/spreadsheets/d/1XL5vhW3sbDhbH9Cz0tuDiY8C3ctxq1tqvaCgkFb8cCA/edit?usp=sharing"",""ขอนแก่น!M496"")"),5450)</f>
        <v>5450</v>
      </c>
      <c r="O601" s="170">
        <f t="shared" ca="1" si="126"/>
        <v>51.904761904761905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IFERROR(__xludf.DUMMYFUNCTION("IMPORTRANGE(""https://docs.google.com/spreadsheets/d/1XL5vhW3sbDhbH9Cz0tuDiY8C3ctxq1tqvaCgkFb8cCA/edit?usp=sharing"",""ขอนแก่น!M497"")"),0)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IFERROR(__xludf.DUMMYFUNCTION("IMPORTRANGE(""https://docs.google.com/spreadsheets/d/1XL5vhW3sbDhbH9Cz0tuDiY8C3ctxq1tqvaCgkFb8cCA/edit?usp=sharing"",""ขอนแก่น!M498"")"),0)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IFERROR(__xludf.DUMMYFUNCTION("IMPORTRANGE(""https://docs.google.com/spreadsheets/d/1XL5vhW3sbDhbH9Cz0tuDiY8C3ctxq1tqvaCgkFb8cCA/edit?usp=sharing"",""ขอนแก่น!M500"")"),5450)</f>
        <v>5450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IFERROR(__xludf.DUMMYFUNCTION("IMPORTRANGE(""https://docs.google.com/spreadsheets/d/1XL5vhW3sbDhbH9Cz0tuDiY8C3ctxq1tqvaCgkFb8cCA/edit?usp=sharing"",""ขอนแก่น!J502"")"),0)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IFERROR(__xludf.DUMMYFUNCTION("IMPORTRANGE(""https://docs.google.com/spreadsheets/d/1XL5vhW3sbDhbH9Cz0tuDiY8C3ctxq1tqvaCgkFb8cCA/edit?usp=sharing"",""ขอนแก่น!J503"")"),1)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IFERROR(__xludf.DUMMYFUNCTION("IMPORTRANGE(""https://docs.google.com/spreadsheets/d/1XL5vhW3sbDhbH9Cz0tuDiY8C3ctxq1tqvaCgkFb8cCA/edit?usp=sharing"",""ขอนแก่น!I506"")"),100)</f>
        <v>100</v>
      </c>
      <c r="J611" s="164">
        <f ca="1">IFERROR(__xludf.DUMMYFUNCTION("IMPORTRANGE(""https://docs.google.com/spreadsheets/d/1XL5vhW3sbDhbH9Cz0tuDiY8C3ctxq1tqvaCgkFb8cCA/edit?usp=sharing"",""ขอนแก่น!J506"")"),0)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IFERROR(__xludf.DUMMYFUNCTION("IMPORTRANGE(""https://docs.google.com/spreadsheets/d/1XL5vhW3sbDhbH9Cz0tuDiY8C3ctxq1tqvaCgkFb8cCA/edit?usp=sharing"",""ขอนแก่น!I507"")"),0)</f>
        <v>0</v>
      </c>
      <c r="J612" s="199">
        <f ca="1">IFERROR(__xludf.DUMMYFUNCTION("IMPORTRANGE(""https://docs.google.com/spreadsheets/d/1XL5vhW3sbDhbH9Cz0tuDiY8C3ctxq1tqvaCgkFb8cCA/edit?usp=sharing"",""ขอนแก่น!J507"")"),0)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IFERROR(__xludf.DUMMYFUNCTION("IMPORTRANGE(""https://docs.google.com/spreadsheets/d/1XL5vhW3sbDhbH9Cz0tuDiY8C3ctxq1tqvaCgkFb8cCA/edit?usp=sharing"",""ขอนแก่น!I508"")"),0)</f>
        <v>0</v>
      </c>
      <c r="J613" s="199">
        <f ca="1">IFERROR(__xludf.DUMMYFUNCTION("IMPORTRANGE(""https://docs.google.com/spreadsheets/d/1XL5vhW3sbDhbH9Cz0tuDiY8C3ctxq1tqvaCgkFb8cCA/edit?usp=sharing"",""ขอนแก่น!J508"")"),0)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IFERROR(__xludf.DUMMYFUNCTION("IMPORTRANGE(""https://docs.google.com/spreadsheets/d/1XL5vhW3sbDhbH9Cz0tuDiY8C3ctxq1tqvaCgkFb8cCA/edit?usp=sharing"",""ขอนแก่น!I509"")"),0)</f>
        <v>0</v>
      </c>
      <c r="J614" s="199">
        <f ca="1">IFERROR(__xludf.DUMMYFUNCTION("IMPORTRANGE(""https://docs.google.com/spreadsheets/d/1XL5vhW3sbDhbH9Cz0tuDiY8C3ctxq1tqvaCgkFb8cCA/edit?usp=sharing"",""ขอนแก่น!J509"")"),0)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IFERROR(__xludf.DUMMYFUNCTION("IMPORTRANGE(""https://docs.google.com/spreadsheets/d/1XL5vhW3sbDhbH9Cz0tuDiY8C3ctxq1tqvaCgkFb8cCA/edit?usp=sharing"",""ขอนแก่น!I510"")"),0)</f>
        <v>0</v>
      </c>
      <c r="J615" s="199">
        <f ca="1">IFERROR(__xludf.DUMMYFUNCTION("IMPORTRANGE(""https://docs.google.com/spreadsheets/d/1XL5vhW3sbDhbH9Cz0tuDiY8C3ctxq1tqvaCgkFb8cCA/edit?usp=sharing"",""ขอนแก่น!J510"")"),0)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IFERROR(__xludf.DUMMYFUNCTION("IMPORTRANGE(""https://docs.google.com/spreadsheets/d/1XL5vhW3sbDhbH9Cz0tuDiY8C3ctxq1tqvaCgkFb8cCA/edit?usp=sharing"",""ขอนแก่น!I511"")"),0)</f>
        <v>0</v>
      </c>
      <c r="J616" s="199">
        <f ca="1">IFERROR(__xludf.DUMMYFUNCTION("IMPORTRANGE(""https://docs.google.com/spreadsheets/d/1XL5vhW3sbDhbH9Cz0tuDiY8C3ctxq1tqvaCgkFb8cCA/edit?usp=sharing"",""ขอนแก่น!J511"")"),0)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IFERROR(__xludf.DUMMYFUNCTION("IMPORTRANGE(""https://docs.google.com/spreadsheets/d/1XL5vhW3sbDhbH9Cz0tuDiY8C3ctxq1tqvaCgkFb8cCA/edit?usp=sharing"",""ขอนแก่น!I512"")"),0)</f>
        <v>0</v>
      </c>
      <c r="J617" s="189">
        <f ca="1">IFERROR(__xludf.DUMMYFUNCTION("IMPORTRANGE(""https://docs.google.com/spreadsheets/d/1XL5vhW3sbDhbH9Cz0tuDiY8C3ctxq1tqvaCgkFb8cCA/edit?usp=sharing"",""ขอนแก่น!J512"")"),0)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IFERROR(__xludf.DUMMYFUNCTION("IMPORTRANGE(""https://docs.google.com/spreadsheets/d/1XL5vhW3sbDhbH9Cz0tuDiY8C3ctxq1tqvaCgkFb8cCA/edit?usp=sharing"",""ขอนแก่น!I513"")"),0)</f>
        <v>0</v>
      </c>
      <c r="J618" s="190">
        <f ca="1">IFERROR(__xludf.DUMMYFUNCTION("IMPORTRANGE(""https://docs.google.com/spreadsheets/d/1XL5vhW3sbDhbH9Cz0tuDiY8C3ctxq1tqvaCgkFb8cCA/edit?usp=sharing"",""ขอนแก่น!J513"")"),0)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IFERROR(__xludf.DUMMYFUNCTION("IMPORTRANGE(""https://docs.google.com/spreadsheets/d/1XL5vhW3sbDhbH9Cz0tuDiY8C3ctxq1tqvaCgkFb8cCA/edit?usp=sharing"",""ขอนแก่น!I514"")"),0)</f>
        <v>0</v>
      </c>
      <c r="J619" s="190">
        <f ca="1">IFERROR(__xludf.DUMMYFUNCTION("IMPORTRANGE(""https://docs.google.com/spreadsheets/d/1XL5vhW3sbDhbH9Cz0tuDiY8C3ctxq1tqvaCgkFb8cCA/edit?usp=sharing"",""ขอนแก่น!J514"")"),0)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IFERROR(__xludf.DUMMYFUNCTION("IMPORTRANGE(""https://docs.google.com/spreadsheets/d/1XL5vhW3sbDhbH9Cz0tuDiY8C3ctxq1tqvaCgkFb8cCA/edit?usp=sharing"",""ขอนแก่น!I515"")"),0)</f>
        <v>0</v>
      </c>
      <c r="J620" s="204">
        <f ca="1">IFERROR(__xludf.DUMMYFUNCTION("IMPORTRANGE(""https://docs.google.com/spreadsheets/d/1XL5vhW3sbDhbH9Cz0tuDiY8C3ctxq1tqvaCgkFb8cCA/edit?usp=sharing"",""ขอนแก่น!J515"")"),0)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IFERROR(__xludf.DUMMYFUNCTION("IMPORTRANGE(""https://docs.google.com/spreadsheets/d/1XL5vhW3sbDhbH9Cz0tuDiY8C3ctxq1tqvaCgkFb8cCA/edit?usp=sharing"",""ขอนแก่น!I516"")"),0)</f>
        <v>0</v>
      </c>
      <c r="J621" s="204">
        <f ca="1">IFERROR(__xludf.DUMMYFUNCTION("IMPORTRANGE(""https://docs.google.com/spreadsheets/d/1XL5vhW3sbDhbH9Cz0tuDiY8C3ctxq1tqvaCgkFb8cCA/edit?usp=sharing"",""ขอนแก่น!J516"")"),0)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IFERROR(__xludf.DUMMYFUNCTION("IMPORTRANGE(""https://docs.google.com/spreadsheets/d/1XL5vhW3sbDhbH9Cz0tuDiY8C3ctxq1tqvaCgkFb8cCA/edit?usp=sharing"",""ขอนแก่น!I517"")"),0)</f>
        <v>0</v>
      </c>
      <c r="J622" s="190">
        <f ca="1">IFERROR(__xludf.DUMMYFUNCTION("IMPORTRANGE(""https://docs.google.com/spreadsheets/d/1XL5vhW3sbDhbH9Cz0tuDiY8C3ctxq1tqvaCgkFb8cCA/edit?usp=sharing"",""ขอนแก่น!J517"")"),0)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IFERROR(__xludf.DUMMYFUNCTION("IMPORTRANGE(""https://docs.google.com/spreadsheets/d/1XL5vhW3sbDhbH9Cz0tuDiY8C3ctxq1tqvaCgkFb8cCA/edit?usp=sharing"",""ขอนแก่น!I518"")"),0)</f>
        <v>0</v>
      </c>
      <c r="J623" s="190">
        <f ca="1">IFERROR(__xludf.DUMMYFUNCTION("IMPORTRANGE(""https://docs.google.com/spreadsheets/d/1XL5vhW3sbDhbH9Cz0tuDiY8C3ctxq1tqvaCgkFb8cCA/edit?usp=sharing"",""ขอนแก่น!J518"")"),0)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IFERROR(__xludf.DUMMYFUNCTION("IMPORTRANGE(""https://docs.google.com/spreadsheets/d/1XL5vhW3sbDhbH9Cz0tuDiY8C3ctxq1tqvaCgkFb8cCA/edit?usp=sharing"",""ขอนแก่น!I519"")"),0)</f>
        <v>0</v>
      </c>
      <c r="J624" s="189">
        <f ca="1">IFERROR(__xludf.DUMMYFUNCTION("IMPORTRANGE(""https://docs.google.com/spreadsheets/d/1XL5vhW3sbDhbH9Cz0tuDiY8C3ctxq1tqvaCgkFb8cCA/edit?usp=sharing"",""ขอนแก่น!J519"")"),0)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IFERROR(__xludf.DUMMYFUNCTION("IMPORTRANGE(""https://docs.google.com/spreadsheets/d/1XL5vhW3sbDhbH9Cz0tuDiY8C3ctxq1tqvaCgkFb8cCA/edit?usp=sharing"",""ขอนแก่น!I520"")"),0)</f>
        <v>0</v>
      </c>
      <c r="J625" s="190">
        <f ca="1">IFERROR(__xludf.DUMMYFUNCTION("IMPORTRANGE(""https://docs.google.com/spreadsheets/d/1XL5vhW3sbDhbH9Cz0tuDiY8C3ctxq1tqvaCgkFb8cCA/edit?usp=sharing"",""ขอนแก่น!J520"")"),0)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IFERROR(__xludf.DUMMYFUNCTION("IMPORTRANGE(""https://docs.google.com/spreadsheets/d/1XL5vhW3sbDhbH9Cz0tuDiY8C3ctxq1tqvaCgkFb8cCA/edit?usp=sharing"",""ขอนแก่น!I521"")"),0)</f>
        <v>0</v>
      </c>
      <c r="J626" s="190">
        <f ca="1">IFERROR(__xludf.DUMMYFUNCTION("IMPORTRANGE(""https://docs.google.com/spreadsheets/d/1XL5vhW3sbDhbH9Cz0tuDiY8C3ctxq1tqvaCgkFb8cCA/edit?usp=sharing"",""ขอนแก่น!J521"")"),0)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IFERROR(__xludf.DUMMYFUNCTION("IMPORTRANGE(""https://docs.google.com/spreadsheets/d/1XL5vhW3sbDhbH9Cz0tuDiY8C3ctxq1tqvaCgkFb8cCA/edit?usp=sharing"",""ขอนแก่น!I523"")"),3622257.64)</f>
        <v>3622257.64</v>
      </c>
      <c r="J628" s="341">
        <f ca="1">IFERROR(__xludf.DUMMYFUNCTION("IMPORTRANGE(""https://docs.google.com/spreadsheets/d/1XL5vhW3sbDhbH9Cz0tuDiY8C3ctxq1tqvaCgkFb8cCA/edit?usp=sharing"",""ขอนแก่น!J523"")"),1067476.48)</f>
        <v>1067476.48</v>
      </c>
      <c r="K628" s="342">
        <f t="shared" ref="K628:K635" ca="1" si="129">IF(I628&gt;0,J628*100/I628,0)</f>
        <v>29.469921416191699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IFERROR(__xludf.DUMMYFUNCTION("IMPORTRANGE(""https://docs.google.com/spreadsheets/d/1XL5vhW3sbDhbH9Cz0tuDiY8C3ctxq1tqvaCgkFb8cCA/edit?usp=sharing"",""ขอนแก่น!I524"")"),242)</f>
        <v>242</v>
      </c>
      <c r="J629" s="341">
        <f ca="1">IFERROR(__xludf.DUMMYFUNCTION("IMPORTRANGE(""https://docs.google.com/spreadsheets/d/1XL5vhW3sbDhbH9Cz0tuDiY8C3ctxq1tqvaCgkFb8cCA/edit?usp=sharing"",""ขอนแก่น!J524"")"),61)</f>
        <v>61</v>
      </c>
      <c r="K629" s="342">
        <f t="shared" ca="1" si="129"/>
        <v>25.206611570247933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1">
        <f ca="1">IFERROR(__xludf.DUMMYFUNCTION("IMPORTRANGE(""https://docs.google.com/spreadsheets/d/1XL5vhW3sbDhbH9Cz0tuDiY8C3ctxq1tqvaCgkFb8cCA/edit?usp=sharing"",""ขอนแก่น!J525"")"),992113.65)</f>
        <v>992113.65</v>
      </c>
      <c r="K630" s="342">
        <f t="shared" ca="1" si="129"/>
        <v>4.6648819286809298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IFERROR(__xludf.DUMMYFUNCTION("IMPORTRANGE(""https://docs.google.com/spreadsheets/d/1XL5vhW3sbDhbH9Cz0tuDiY8C3ctxq1tqvaCgkFb8cCA/edit?usp=sharing"",""ขอนแก่น!I526"")"),613)</f>
        <v>613</v>
      </c>
      <c r="J631" s="341">
        <f ca="1">IFERROR(__xludf.DUMMYFUNCTION("IMPORTRANGE(""https://docs.google.com/spreadsheets/d/1XL5vhW3sbDhbH9Cz0tuDiY8C3ctxq1tqvaCgkFb8cCA/edit?usp=sharing"",""ขอนแก่น!J526"")"),145)</f>
        <v>145</v>
      </c>
      <c r="K631" s="342">
        <f t="shared" ca="1" si="129"/>
        <v>23.65415986949429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IFERROR(__xludf.DUMMYFUNCTION("IMPORTRANGE(""https://docs.google.com/spreadsheets/d/1XL5vhW3sbDhbH9Cz0tuDiY8C3ctxq1tqvaCgkFb8cCA/edit?usp=sharing"",""ขอนแก่น!I527"")"),490580.36)</f>
        <v>490580.36</v>
      </c>
      <c r="J632" s="341">
        <f ca="1">IFERROR(__xludf.DUMMYFUNCTION("IMPORTRANGE(""https://docs.google.com/spreadsheets/d/1XL5vhW3sbDhbH9Cz0tuDiY8C3ctxq1tqvaCgkFb8cCA/edit?usp=sharing"",""ขอนแก่น!J527"")"),104563.74)</f>
        <v>104563.74</v>
      </c>
      <c r="K632" s="342">
        <f t="shared" ca="1" si="129"/>
        <v>21.314293951759506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IFERROR(__xludf.DUMMYFUNCTION("IMPORTRANGE(""https://docs.google.com/spreadsheets/d/1XL5vhW3sbDhbH9Cz0tuDiY8C3ctxq1tqvaCgkFb8cCA/edit?usp=sharing"",""ขอนแก่น!I528"")"),60)</f>
        <v>60</v>
      </c>
      <c r="J633" s="341">
        <f ca="1">IFERROR(__xludf.DUMMYFUNCTION("IMPORTRANGE(""https://docs.google.com/spreadsheets/d/1XL5vhW3sbDhbH9Cz0tuDiY8C3ctxq1tqvaCgkFb8cCA/edit?usp=sharing"",""ขอนแก่น!J528"")"),35)</f>
        <v>35</v>
      </c>
      <c r="K633" s="342">
        <f t="shared" ca="1" si="129"/>
        <v>58.333333333333336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IFERROR(__xludf.DUMMYFUNCTION("IMPORTRANGE(""https://docs.google.com/spreadsheets/d/1XL5vhW3sbDhbH9Cz0tuDiY8C3ctxq1tqvaCgkFb8cCA/edit?usp=sharing"",""ขอนแก่น!I529"")"),6500000)</f>
        <v>6500000</v>
      </c>
      <c r="J634" s="341">
        <f ca="1">IFERROR(__xludf.DUMMYFUNCTION("IMPORTRANGE(""https://docs.google.com/spreadsheets/d/1XL5vhW3sbDhbH9Cz0tuDiY8C3ctxq1tqvaCgkFb8cCA/edit?usp=sharing"",""ขอนแก่น!J529"")"),3550000)</f>
        <v>3550000</v>
      </c>
      <c r="K634" s="342">
        <f t="shared" ca="1" si="129"/>
        <v>54.615384615384613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IFERROR(__xludf.DUMMYFUNCTION("IMPORTRANGE(""https://docs.google.com/spreadsheets/d/1XL5vhW3sbDhbH9Cz0tuDiY8C3ctxq1tqvaCgkFb8cCA/edit?usp=sharing"",""ขอนแก่น!I530"")"),130)</f>
        <v>130</v>
      </c>
      <c r="J635" s="504">
        <f ca="1">IFERROR(__xludf.DUMMYFUNCTION("IMPORTRANGE(""https://docs.google.com/spreadsheets/d/1XL5vhW3sbDhbH9Cz0tuDiY8C3ctxq1tqvaCgkFb8cCA/edit?usp=sharing"",""ขอนแก่น!J530"")"),71)</f>
        <v>71</v>
      </c>
      <c r="K635" s="486">
        <f t="shared" ca="1" si="129"/>
        <v>54.615384615384613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7109375" bestFit="1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242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7993372</v>
      </c>
      <c r="M8" s="23">
        <f t="shared" ca="1" si="0"/>
        <v>3947847</v>
      </c>
      <c r="N8" s="23">
        <f t="shared" ca="1" si="0"/>
        <v>3713344</v>
      </c>
      <c r="O8" s="22">
        <f t="shared" ref="O8:O16" ca="1" si="1">IF(L8&gt;0,N8*100/L8,0)</f>
        <v>46.455288206278901</v>
      </c>
      <c r="P8" s="22">
        <f t="shared" ref="P8:P16" ca="1" si="2">IF(M8&gt;0,N8*100/M8,0)</f>
        <v>94.059977501661038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7993372</v>
      </c>
      <c r="M10" s="30">
        <f t="shared" ca="1" si="4"/>
        <v>3947847</v>
      </c>
      <c r="N10" s="30">
        <f t="shared" ca="1" si="4"/>
        <v>3713344</v>
      </c>
      <c r="O10" s="29">
        <f t="shared" ca="1" si="1"/>
        <v>46.455288206278901</v>
      </c>
      <c r="P10" s="29">
        <f t="shared" ca="1" si="2"/>
        <v>94.059977501661038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6527373</v>
      </c>
      <c r="M12" s="38">
        <f t="shared" ca="1" si="6"/>
        <v>2481848</v>
      </c>
      <c r="N12" s="38">
        <f t="shared" ca="1" si="6"/>
        <v>2247345</v>
      </c>
      <c r="O12" s="38">
        <f t="shared" ca="1" si="1"/>
        <v>34.429547690931713</v>
      </c>
      <c r="P12" s="38">
        <f t="shared" ca="1" si="2"/>
        <v>90.551274695307697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3663473</v>
      </c>
      <c r="M14" s="38">
        <f t="shared" si="8"/>
        <v>0</v>
      </c>
      <c r="N14" s="38">
        <f t="shared" ca="1" si="8"/>
        <v>284423</v>
      </c>
      <c r="O14" s="38">
        <f t="shared" ca="1" si="1"/>
        <v>7.763753138074172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5925889</v>
      </c>
      <c r="M18" s="23">
        <f t="shared" ca="1" si="11"/>
        <v>3947847</v>
      </c>
      <c r="N18" s="23">
        <f t="shared" ca="1" si="11"/>
        <v>3428921</v>
      </c>
      <c r="O18" s="22">
        <f t="shared" ref="O18:O20" ca="1" si="12">IF(L18&gt;0,N18*100/L18,0)</f>
        <v>57.863402436326432</v>
      </c>
      <c r="P18" s="22">
        <f t="shared" ref="P18:P26" ca="1" si="13">IF(M18&gt;0,N18*100/M18,0)</f>
        <v>86.855468309688803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5925889</v>
      </c>
      <c r="M20" s="30">
        <f t="shared" ca="1" si="15"/>
        <v>3947847</v>
      </c>
      <c r="N20" s="30">
        <f t="shared" ca="1" si="15"/>
        <v>3428921</v>
      </c>
      <c r="O20" s="29">
        <f t="shared" ca="1" si="12"/>
        <v>57.863402436326432</v>
      </c>
      <c r="P20" s="29">
        <f t="shared" ca="1" si="13"/>
        <v>86.855468309688803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2481848</v>
      </c>
      <c r="N22" s="38">
        <f t="shared" ca="1" si="18"/>
        <v>1962922</v>
      </c>
      <c r="O22" s="38">
        <f t="shared" ca="1" si="17"/>
        <v>44.01278955310557</v>
      </c>
      <c r="P22" s="38">
        <f t="shared" ca="1" si="13"/>
        <v>79.091144985510795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2067483</v>
      </c>
      <c r="M28" s="23">
        <f t="shared" si="23"/>
        <v>0</v>
      </c>
      <c r="N28" s="23">
        <f t="shared" ca="1" si="23"/>
        <v>284423</v>
      </c>
      <c r="O28" s="22">
        <f t="shared" ref="O28:O30" ca="1" si="24">IF(L28&gt;0,N28*100/L28,0)</f>
        <v>13.756969222963381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2067483</v>
      </c>
      <c r="M30" s="30">
        <f t="shared" si="27"/>
        <v>0</v>
      </c>
      <c r="N30" s="30">
        <f t="shared" ca="1" si="27"/>
        <v>284423</v>
      </c>
      <c r="O30" s="29">
        <f t="shared" ca="1" si="24"/>
        <v>13.756969222963381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2067483</v>
      </c>
      <c r="M32" s="38">
        <f t="shared" si="30"/>
        <v>0</v>
      </c>
      <c r="N32" s="38">
        <f t="shared" ca="1" si="30"/>
        <v>284423</v>
      </c>
      <c r="O32" s="38">
        <f t="shared" ca="1" si="29"/>
        <v>13.756969222963381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2067483</v>
      </c>
      <c r="M34" s="38">
        <f t="shared" si="32"/>
        <v>0</v>
      </c>
      <c r="N34" s="38">
        <f t="shared" ca="1" si="32"/>
        <v>284423</v>
      </c>
      <c r="O34" s="38">
        <f t="shared" ca="1" si="29"/>
        <v>13.756969222963381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5925889</v>
      </c>
      <c r="M37" s="54">
        <f t="shared" ca="1" si="33"/>
        <v>3947847</v>
      </c>
      <c r="N37" s="54">
        <f t="shared" ca="1" si="33"/>
        <v>3428921</v>
      </c>
      <c r="O37" s="55">
        <f t="shared" ca="1" si="29"/>
        <v>57.863402436326432</v>
      </c>
      <c r="P37" s="55">
        <f t="shared" ca="1" si="25"/>
        <v>86.855468309688803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2456799</v>
      </c>
      <c r="M41" s="78">
        <f t="shared" ca="1" si="34"/>
        <v>1961399</v>
      </c>
      <c r="N41" s="78">
        <f t="shared" ca="1" si="34"/>
        <v>1911187</v>
      </c>
      <c r="O41" s="77">
        <f t="shared" ref="O41:O43" ca="1" si="35">IF(L41&gt;0,N41*100/L41,0)</f>
        <v>77.791752601657691</v>
      </c>
      <c r="P41" s="77">
        <f t="shared" ref="P41:P43" ca="1" si="36">IF(M41&gt;0,N41*100/M41,0)</f>
        <v>97.439990537366441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2456799</v>
      </c>
      <c r="M43" s="78">
        <f t="shared" ca="1" si="38"/>
        <v>1961399</v>
      </c>
      <c r="N43" s="78">
        <f t="shared" ca="1" si="38"/>
        <v>1911187</v>
      </c>
      <c r="O43" s="77">
        <f t="shared" ca="1" si="35"/>
        <v>77.791752601657691</v>
      </c>
      <c r="P43" s="77">
        <f t="shared" ca="1" si="36"/>
        <v>97.439990537366441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IFERROR(__xludf.DUMMYFUNCTION("IMPORTRANGE(""https://docs.google.com/spreadsheets/d/1Yj_ptqi66GCucihVvJfMjLAmec39IyEx_6qawtMGysU/edit?usp=sharing"",""สบก!Q40"")"),495400)</f>
        <v>495400</v>
      </c>
      <c r="N45" s="49">
        <f ca="1">IFERROR(__xludf.DUMMYFUNCTION("IMPORTRANGE(""https://docs.google.com/spreadsheets/d/1Yj_ptqi66GCucihVvJfMjLAmec39IyEx_6qawtMGysU/edit?usp=sharing"",""สบก!R40"")"),445188)</f>
        <v>445188</v>
      </c>
      <c r="O45" s="38">
        <f ca="1">IF(L45&gt;0,N45*100/L45,0)</f>
        <v>44.932176019378282</v>
      </c>
      <c r="P45" s="38">
        <f ca="1">IF(M45&gt;0,N45*100/M45,0)</f>
        <v>89.864352038756564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403538</v>
      </c>
      <c r="N53" s="121">
        <f t="shared" ca="1" si="39"/>
        <v>398773</v>
      </c>
      <c r="O53" s="120">
        <f t="shared" ref="O53:O55" ca="1" si="40">IF(L53&gt;0,N53*100/L53,0)</f>
        <v>51.203518233179253</v>
      </c>
      <c r="P53" s="120">
        <f t="shared" ref="P53:P55" ca="1" si="41">IF(M53&gt;0,N53*100/M53,0)</f>
        <v>98.819194227061644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403538</v>
      </c>
      <c r="N55" s="121">
        <f t="shared" ca="1" si="43"/>
        <v>398773</v>
      </c>
      <c r="O55" s="120">
        <f t="shared" ca="1" si="40"/>
        <v>51.203518233179253</v>
      </c>
      <c r="P55" s="120">
        <f t="shared" ca="1" si="41"/>
        <v>98.819194227061644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IFERROR(__xludf.DUMMYFUNCTION("IMPORTRANGE(""https://docs.google.com/spreadsheets/d/1Yj_ptqi66GCucihVvJfMjLAmec39IyEx_6qawtMGysU/edit?usp=sharing"",""สบก!Z40"")"),403538)</f>
        <v>403538</v>
      </c>
      <c r="N57" s="49">
        <f ca="1">IFERROR(__xludf.DUMMYFUNCTION("IMPORTRANGE(""https://docs.google.com/spreadsheets/d/1Yj_ptqi66GCucihVvJfMjLAmec39IyEx_6qawtMGysU/edit?usp=sharing"",""สบก!AA40"")"),398773)</f>
        <v>398773</v>
      </c>
      <c r="O57" s="38">
        <f ca="1">IF(L57&gt;0,N57*100/L57,0)</f>
        <v>51.203518233179253</v>
      </c>
      <c r="P57" s="38">
        <f ca="1">IF(M57&gt;0,N57*100/M57,0)</f>
        <v>98.819194227061644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IFERROR(__xludf.DUMMYFUNCTION("IMPORTRANGE(""https://docs.google.com/spreadsheets/d/1Yj_ptqi66GCucihVvJfMjLAmec39IyEx_6qawtMGysU/edit?usp=sharing"",""สบก!AI40"")"),0)</f>
        <v>0</v>
      </c>
      <c r="N70" s="170">
        <f ca="1">IFERROR(__xludf.DUMMYFUNCTION("IMPORTRANGE(""https://docs.google.com/spreadsheets/d/1Yj_ptqi66GCucihVvJfMjLAmec39IyEx_6qawtMGysU/edit?usp=sharing"",""สบก!AJ40"")"),0)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IFERROR(__xludf.DUMMYFUNCTION("IMPORTRANGE(""https://docs.google.com/spreadsheets/d/1Yj_ptqi66GCucihVvJfMjLAmec39IyEx_6qawtMGysU/edit?usp=sharing"",""สบก!AE40"")"),0)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IFERROR(__xludf.DUMMYFUNCTION("IMPORTRANGE(""https://docs.google.com/spreadsheets/d/1Yj_ptqi66GCucihVvJfMjLAmec39IyEx_6qawtMGysU/edit?usp=sharing"",""สบก!AF40"")"),0)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IFERROR(__xludf.DUMMYFUNCTION("IMPORTRANGE(""https://docs.google.com/spreadsheets/d/1XL5vhW3sbDhbH9Cz0tuDiY8C3ctxq1tqvaCgkFb8cCA/edit?usp=sharing"",""ชัยภูมิ!J16"")"),0)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IFERROR(__xludf.DUMMYFUNCTION("IMPORTRANGE(""https://docs.google.com/spreadsheets/d/1XL5vhW3sbDhbH9Cz0tuDiY8C3ctxq1tqvaCgkFb8cCA/edit?usp=sharing"",""ชัยภูมิ!J17"")"),0)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IFERROR(__xludf.DUMMYFUNCTION("IMPORTRANGE(""https://docs.google.com/spreadsheets/d/1XL5vhW3sbDhbH9Cz0tuDiY8C3ctxq1tqvaCgkFb8cCA/edit?usp=sharing"",""ชัยภูมิ!J18"")"),0)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IFERROR(__xludf.DUMMYFUNCTION("IMPORTRANGE(""https://docs.google.com/spreadsheets/d/1XL5vhW3sbDhbH9Cz0tuDiY8C3ctxq1tqvaCgkFb8cCA/edit?usp=sharing"",""ชัยภูมิ!J19"")"),0)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IFERROR(__xludf.DUMMYFUNCTION("IMPORTRANGE(""https://docs.google.com/spreadsheets/d/1XL5vhW3sbDhbH9Cz0tuDiY8C3ctxq1tqvaCgkFb8cCA/edit?usp=sharing"",""ชัยภูมิ!I20"")"),0)</f>
        <v>0</v>
      </c>
      <c r="J80" s="202">
        <f ca="1">IFERROR(__xludf.DUMMYFUNCTION("IMPORTRANGE(""https://docs.google.com/spreadsheets/d/1XL5vhW3sbDhbH9Cz0tuDiY8C3ctxq1tqvaCgkFb8cCA/edit?usp=sharing"",""ชัยภูมิ!J20"")"),0)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IFERROR(__xludf.DUMMYFUNCTION("IMPORTRANGE(""https://docs.google.com/spreadsheets/d/1XL5vhW3sbDhbH9Cz0tuDiY8C3ctxq1tqvaCgkFb8cCA/edit?usp=sharing"",""ชัยภูมิ!I21"")"),0)</f>
        <v>0</v>
      </c>
      <c r="J81" s="202">
        <f ca="1">IFERROR(__xludf.DUMMYFUNCTION("IMPORTRANGE(""https://docs.google.com/spreadsheets/d/1XL5vhW3sbDhbH9Cz0tuDiY8C3ctxq1tqvaCgkFb8cCA/edit?usp=sharing"",""ชัยภูมิ!J21"")"),0)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IFERROR(__xludf.DUMMYFUNCTION("IMPORTRANGE(""https://docs.google.com/spreadsheets/d/1XL5vhW3sbDhbH9Cz0tuDiY8C3ctxq1tqvaCgkFb8cCA/edit?usp=sharing"",""ชัยภูมิ!I22"")"),0)</f>
        <v>0</v>
      </c>
      <c r="J82" s="205">
        <f ca="1">IFERROR(__xludf.DUMMYFUNCTION("IMPORTRANGE(""https://docs.google.com/spreadsheets/d/1XL5vhW3sbDhbH9Cz0tuDiY8C3ctxq1tqvaCgkFb8cCA/edit?usp=sharing"",""ชัยภูมิ!J22"")"),0)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IFERROR(__xludf.DUMMYFUNCTION("IMPORTRANGE(""https://docs.google.com/spreadsheets/d/1XL5vhW3sbDhbH9Cz0tuDiY8C3ctxq1tqvaCgkFb8cCA/edit?usp=sharing"",""ชัยภูมิ!I23"")"),0)</f>
        <v>0</v>
      </c>
      <c r="J83" s="205">
        <f ca="1">IFERROR(__xludf.DUMMYFUNCTION("IMPORTRANGE(""https://docs.google.com/spreadsheets/d/1XL5vhW3sbDhbH9Cz0tuDiY8C3ctxq1tqvaCgkFb8cCA/edit?usp=sharing"",""ชัยภูมิ!J23"")"),0)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IFERROR(__xludf.DUMMYFUNCTION("IMPORTRANGE(""https://docs.google.com/spreadsheets/d/1XL5vhW3sbDhbH9Cz0tuDiY8C3ctxq1tqvaCgkFb8cCA/edit?usp=sharing"",""ชัยภูมิ!I24"")"),0)</f>
        <v>0</v>
      </c>
      <c r="J84" s="190">
        <f ca="1">IFERROR(__xludf.DUMMYFUNCTION("IMPORTRANGE(""https://docs.google.com/spreadsheets/d/1XL5vhW3sbDhbH9Cz0tuDiY8C3ctxq1tqvaCgkFb8cCA/edit?usp=sharing"",""ชัยภูมิ!J24"")"),0)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IFERROR(__xludf.DUMMYFUNCTION("IMPORTRANGE(""https://docs.google.com/spreadsheets/d/1XL5vhW3sbDhbH9Cz0tuDiY8C3ctxq1tqvaCgkFb8cCA/edit?usp=sharing"",""ชัยภูมิ!I25"")"),0)</f>
        <v>0</v>
      </c>
      <c r="J85" s="190">
        <f ca="1">IFERROR(__xludf.DUMMYFUNCTION("IMPORTRANGE(""https://docs.google.com/spreadsheets/d/1XL5vhW3sbDhbH9Cz0tuDiY8C3ctxq1tqvaCgkFb8cCA/edit?usp=sharing"",""ชัยภูมิ!J25"")"),0)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IFERROR(__xludf.DUMMYFUNCTION("IMPORTRANGE(""https://docs.google.com/spreadsheets/d/1XL5vhW3sbDhbH9Cz0tuDiY8C3ctxq1tqvaCgkFb8cCA/edit?usp=sharing"",""ชัยภูมิ!I26"")"),0)</f>
        <v>0</v>
      </c>
      <c r="J86" s="205">
        <f ca="1">IFERROR(__xludf.DUMMYFUNCTION("IMPORTRANGE(""https://docs.google.com/spreadsheets/d/1XL5vhW3sbDhbH9Cz0tuDiY8C3ctxq1tqvaCgkFb8cCA/edit?usp=sharing"",""ชัยภูมิ!J26"")"),0)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IFERROR(__xludf.DUMMYFUNCTION("IMPORTRANGE(""https://docs.google.com/spreadsheets/d/1XL5vhW3sbDhbH9Cz0tuDiY8C3ctxq1tqvaCgkFb8cCA/edit?usp=sharing"",""ชัยภูมิ!I27"")"),0)</f>
        <v>0</v>
      </c>
      <c r="J87" s="205">
        <f ca="1">IFERROR(__xludf.DUMMYFUNCTION("IMPORTRANGE(""https://docs.google.com/spreadsheets/d/1XL5vhW3sbDhbH9Cz0tuDiY8C3ctxq1tqvaCgkFb8cCA/edit?usp=sharing"",""ชัยภูมิ!J27"")"),0)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IFERROR(__xludf.DUMMYFUNCTION("IMPORTRANGE(""https://docs.google.com/spreadsheets/d/1XL5vhW3sbDhbH9Cz0tuDiY8C3ctxq1tqvaCgkFb8cCA/edit?usp=sharing"",""ชัยภูมิ!I28"")"),0)</f>
        <v>0</v>
      </c>
      <c r="J88" s="205">
        <f ca="1">IFERROR(__xludf.DUMMYFUNCTION("IMPORTRANGE(""https://docs.google.com/spreadsheets/d/1XL5vhW3sbDhbH9Cz0tuDiY8C3ctxq1tqvaCgkFb8cCA/edit?usp=sharing"",""ชัยภูมิ!J28"")"),0)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IFERROR(__xludf.DUMMYFUNCTION("IMPORTRANGE(""https://docs.google.com/spreadsheets/d/1XL5vhW3sbDhbH9Cz0tuDiY8C3ctxq1tqvaCgkFb8cCA/edit?usp=sharing"",""ชัยภูมิ!J29"")"),0)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IFERROR(__xludf.DUMMYFUNCTION("IMPORTRANGE(""https://docs.google.com/spreadsheets/d/1Yj_ptqi66GCucihVvJfMjLAmec39IyEx_6qawtMGysU/edit?usp=sharing"",""สบก!AR40"")"),0)</f>
        <v>0</v>
      </c>
      <c r="N98" s="170">
        <f ca="1">IFERROR(__xludf.DUMMYFUNCTION("IMPORTRANGE(""https://docs.google.com/spreadsheets/d/1Yj_ptqi66GCucihVvJfMjLAmec39IyEx_6qawtMGysU/edit?usp=sharing"",""สบก!AS40"")"),0)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IFERROR(__xludf.DUMMYFUNCTION("IMPORTRANGE(""https://docs.google.com/spreadsheets/d/1Yj_ptqi66GCucihVvJfMjLAmec39IyEx_6qawtMGysU/edit?usp=sharing"",""สบก!AN40"")"),0)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IFERROR(__xludf.DUMMYFUNCTION("IMPORTRANGE(""https://docs.google.com/spreadsheets/d/1Yj_ptqi66GCucihVvJfMjLAmec39IyEx_6qawtMGysU/edit?usp=sharing"",""สบก!AO40"")"),0)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IFERROR(__xludf.DUMMYFUNCTION("IMPORTRANGE(""https://docs.google.com/spreadsheets/d/1XL5vhW3sbDhbH9Cz0tuDiY8C3ctxq1tqvaCgkFb8cCA/edit?usp=sharing"",""ชัยภูมิ!I43"")"),0)</f>
        <v>0</v>
      </c>
      <c r="J108" s="205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IFERROR(__xludf.DUMMYFUNCTION("IMPORTRANGE(""https://docs.google.com/spreadsheets/d/1XL5vhW3sbDhbH9Cz0tuDiY8C3ctxq1tqvaCgkFb8cCA/edit?usp=sharing"",""ชัยภูมิ!I44"")"),0)</f>
        <v>0</v>
      </c>
      <c r="J109" s="205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IFERROR(__xludf.DUMMYFUNCTION("IMPORTRANGE(""https://docs.google.com/spreadsheets/d/1XL5vhW3sbDhbH9Cz0tuDiY8C3ctxq1tqvaCgkFb8cCA/edit?usp=sharing"",""ชัยภูมิ!I45"")"),0)</f>
        <v>0</v>
      </c>
      <c r="J110" s="205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IFERROR(__xludf.DUMMYFUNCTION("IMPORTRANGE(""https://docs.google.com/spreadsheets/d/1XL5vhW3sbDhbH9Cz0tuDiY8C3ctxq1tqvaCgkFb8cCA/edit?usp=sharing"",""ชัยภูมิ!I46"")"),0)</f>
        <v>0</v>
      </c>
      <c r="J111" s="205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IFERROR(__xludf.DUMMYFUNCTION("IMPORTRANGE(""https://docs.google.com/spreadsheets/d/1XL5vhW3sbDhbH9Cz0tuDiY8C3ctxq1tqvaCgkFb8cCA/edit?usp=sharing"",""ชัยภูมิ!I47"")"),0)</f>
        <v>0</v>
      </c>
      <c r="J112" s="205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IFERROR(__xludf.DUMMYFUNCTION("IMPORTRANGE(""https://docs.google.com/spreadsheets/d/1XL5vhW3sbDhbH9Cz0tuDiY8C3ctxq1tqvaCgkFb8cCA/edit?usp=sharing"",""ชัยภูมิ!I48"")"),0)</f>
        <v>0</v>
      </c>
      <c r="J113" s="205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20245</v>
      </c>
      <c r="O118" s="151">
        <f t="shared" ref="O118:O120" ca="1" si="59">IF(L118&gt;0,N118*100/L118,0)</f>
        <v>24.55725376031053</v>
      </c>
      <c r="P118" s="151">
        <f t="shared" ref="P118:P120" ca="1" si="60">IF(M118&gt;0,N118*100/M118,0)</f>
        <v>30.471101745936181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20245</v>
      </c>
      <c r="O120" s="156">
        <f t="shared" ca="1" si="59"/>
        <v>24.55725376031053</v>
      </c>
      <c r="P120" s="156">
        <f t="shared" ca="1" si="60"/>
        <v>30.471101745936181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IFERROR(__xludf.DUMMYFUNCTION("IMPORTRANGE(""https://docs.google.com/spreadsheets/d/1Yj_ptqi66GCucihVvJfMjLAmec39IyEx_6qawtMGysU/edit?usp=sharing"",""สบก!BA40"")"),66440)</f>
        <v>66440</v>
      </c>
      <c r="N122" s="170">
        <f ca="1">IFERROR(__xludf.DUMMYFUNCTION("IMPORTRANGE(""https://docs.google.com/spreadsheets/d/1Yj_ptqi66GCucihVvJfMjLAmec39IyEx_6qawtMGysU/edit?usp=sharing"",""สบก!BB40"")"),20245)</f>
        <v>20245</v>
      </c>
      <c r="O122" s="170">
        <f ca="1">IF(L122&gt;0,N122*100/L122,0)</f>
        <v>24.55725376031053</v>
      </c>
      <c r="P122" s="170">
        <f ca="1">IF(M122&gt;0,N122*100/M122,0)</f>
        <v>30.471101745936181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IFERROR(__xludf.DUMMYFUNCTION("IMPORTRANGE(""https://docs.google.com/spreadsheets/d/1Yj_ptqi66GCucihVvJfMjLAmec39IyEx_6qawtMGysU/edit?usp=sharing"",""สบก!AW40"")"),0)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IFERROR(__xludf.DUMMYFUNCTION("IMPORTRANGE(""https://docs.google.com/spreadsheets/d/1Yj_ptqi66GCucihVvJfMjLAmec39IyEx_6qawtMGysU/edit?usp=sharing"",""สบก!AX40"")"),82440)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IFERROR(__xludf.DUMMYFUNCTION("IMPORTRANGE(""https://docs.google.com/spreadsheets/d/1XL5vhW3sbDhbH9Cz0tuDiY8C3ctxq1tqvaCgkFb8cCA/edit?usp=sharing"",""ชัยภูมิ!J59"")"),1)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IFERROR(__xludf.DUMMYFUNCTION("IMPORTRANGE(""https://docs.google.com/spreadsheets/d/1XL5vhW3sbDhbH9Cz0tuDiY8C3ctxq1tqvaCgkFb8cCA/edit?usp=sharing"",""ชัยภูมิ!J60"")"),1)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IFERROR(__xludf.DUMMYFUNCTION("IMPORTRANGE(""https://docs.google.com/spreadsheets/d/1XL5vhW3sbDhbH9Cz0tuDiY8C3ctxq1tqvaCgkFb8cCA/edit?usp=sharing"",""ชัยภูมิ!J61"")"),1)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IFERROR(__xludf.DUMMYFUNCTION("IMPORTRANGE(""https://docs.google.com/spreadsheets/d/1XL5vhW3sbDhbH9Cz0tuDiY8C3ctxq1tqvaCgkFb8cCA/edit?usp=sharing"",""ชัยภูมิ!I62"")"),20)</f>
        <v>20</v>
      </c>
      <c r="J132" s="205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IFERROR(__xludf.DUMMYFUNCTION("IMPORTRANGE(""https://docs.google.com/spreadsheets/d/1XL5vhW3sbDhbH9Cz0tuDiY8C3ctxq1tqvaCgkFb8cCA/edit?usp=sharing"",""ชัยภูมิ!I63"")"),20)</f>
        <v>20</v>
      </c>
      <c r="J133" s="205">
        <f ca="1">IFERROR(__xludf.DUMMYFUNCTION("IMPORTRANGE(""https://docs.google.com/spreadsheets/d/1XL5vhW3sbDhbH9Cz0tuDiY8C3ctxq1tqvaCgkFb8cCA/edit?usp=sharing"",""ชัยภูมิ!J63"")"),0)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IFERROR(__xludf.DUMMYFUNCTION("IMPORTRANGE(""https://docs.google.com/spreadsheets/d/1XL5vhW3sbDhbH9Cz0tuDiY8C3ctxq1tqvaCgkFb8cCA/edit?usp=sharing"",""ชัยภูมิ!J64"")"),0)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83000</v>
      </c>
      <c r="M140" s="152">
        <f t="shared" ca="1" si="64"/>
        <v>67750</v>
      </c>
      <c r="N140" s="152">
        <f t="shared" ca="1" si="64"/>
        <v>2200</v>
      </c>
      <c r="O140" s="151">
        <f t="shared" ref="O140:O142" ca="1" si="65">IF(L140&gt;0,N140*100/L140,0)</f>
        <v>2.6506024096385543</v>
      </c>
      <c r="P140" s="151">
        <f t="shared" ref="P140:P142" ca="1" si="66">IF(M140&gt;0,N140*100/M140,0)</f>
        <v>3.2472324723247232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83000</v>
      </c>
      <c r="M142" s="157">
        <f t="shared" ca="1" si="68"/>
        <v>67750</v>
      </c>
      <c r="N142" s="157">
        <f t="shared" ca="1" si="68"/>
        <v>2200</v>
      </c>
      <c r="O142" s="156">
        <f t="shared" ca="1" si="65"/>
        <v>2.6506024096385543</v>
      </c>
      <c r="P142" s="156">
        <f t="shared" ca="1" si="66"/>
        <v>3.2472324723247232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83000</v>
      </c>
      <c r="M144" s="169">
        <f ca="1">IFERROR(__xludf.DUMMYFUNCTION("IMPORTRANGE(""https://docs.google.com/spreadsheets/d/1Yj_ptqi66GCucihVvJfMjLAmec39IyEx_6qawtMGysU/edit?usp=sharing"",""สบก!BJ40"")"),67750)</f>
        <v>67750</v>
      </c>
      <c r="N144" s="170">
        <f ca="1">IFERROR(__xludf.DUMMYFUNCTION("IMPORTRANGE(""https://docs.google.com/spreadsheets/d/1Yj_ptqi66GCucihVvJfMjLAmec39IyEx_6qawtMGysU/edit?usp=sharing"",""สบก!BK40"")"),2200)</f>
        <v>2200</v>
      </c>
      <c r="O144" s="170">
        <f ca="1">IF(L144&gt;0,N144*100/L144,0)</f>
        <v>2.6506024096385543</v>
      </c>
      <c r="P144" s="170">
        <f ca="1">IF(M144&gt;0,N144*100/M144,0)</f>
        <v>3.2472324723247232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IFERROR(__xludf.DUMMYFUNCTION("IMPORTRANGE(""https://docs.google.com/spreadsheets/d/1Yj_ptqi66GCucihVvJfMjLAmec39IyEx_6qawtMGysU/edit?usp=sharing"",""สบก!BF40"")"),0)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IFERROR(__xludf.DUMMYFUNCTION("IMPORTRANGE(""https://docs.google.com/spreadsheets/d/1Yj_ptqi66GCucihVvJfMjLAmec39IyEx_6qawtMGysU/edit?usp=sharing"",""สบก!BG40"")"),83000)</f>
        <v>83000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IFERROR(__xludf.DUMMYFUNCTION("IMPORTRANGE(""https://docs.google.com/spreadsheets/d/1XL5vhW3sbDhbH9Cz0tuDiY8C3ctxq1tqvaCgkFb8cCA/edit?usp=sharing"",""ชัยภูมิ!J79"")"),0)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IFERROR(__xludf.DUMMYFUNCTION("IMPORTRANGE(""https://docs.google.com/spreadsheets/d/1XL5vhW3sbDhbH9Cz0tuDiY8C3ctxq1tqvaCgkFb8cCA/edit?usp=sharing"",""ชัยภูมิ!J80"")"),1)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IFERROR(__xludf.DUMMYFUNCTION("IMPORTRANGE(""https://docs.google.com/spreadsheets/d/1XL5vhW3sbDhbH9Cz0tuDiY8C3ctxq1tqvaCgkFb8cCA/edit?usp=sharing"",""ชัยภูมิ!J81"")"),1)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IFERROR(__xludf.DUMMYFUNCTION("IMPORTRANGE(""https://docs.google.com/spreadsheets/d/1XL5vhW3sbDhbH9Cz0tuDiY8C3ctxq1tqvaCgkFb8cCA/edit?usp=sharing"",""ชัยภูมิ!J82"")"),1)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IFERROR(__xludf.DUMMYFUNCTION("IMPORTRANGE(""https://docs.google.com/spreadsheets/d/1XL5vhW3sbDhbH9Cz0tuDiY8C3ctxq1tqvaCgkFb8cCA/edit?usp=sharing"",""ชัยภูมิ!I83"")"),4)</f>
        <v>4</v>
      </c>
      <c r="J158" s="190">
        <f ca="1">IFERROR(__xludf.DUMMYFUNCTION("IMPORTRANGE(""https://docs.google.com/spreadsheets/d/1XL5vhW3sbDhbH9Cz0tuDiY8C3ctxq1tqvaCgkFb8cCA/edit?usp=sharing"",""ชัยภูมิ!J83"")"),1)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IFERROR(__xludf.DUMMYFUNCTION("IMPORTRANGE(""https://docs.google.com/spreadsheets/d/1XL5vhW3sbDhbH9Cz0tuDiY8C3ctxq1tqvaCgkFb8cCA/edit?usp=sharing"",""ชัยภูมิ!J84"")"),0)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IFERROR(__xludf.DUMMYFUNCTION("IMPORTRANGE(""https://docs.google.com/spreadsheets/d/1XL5vhW3sbDhbH9Cz0tuDiY8C3ctxq1tqvaCgkFb8cCA/edit?usp=sharing"",""ชัยภูมิ!J85"")"),0)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IFERROR(__xludf.DUMMYFUNCTION("IMPORTRANGE(""https://docs.google.com/spreadsheets/d/1XL5vhW3sbDhbH9Cz0tuDiY8C3ctxq1tqvaCgkFb8cCA/edit?usp=sharing"",""ชัยภูมิ!J86"")"),0)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IFERROR(__xludf.DUMMYFUNCTION("IMPORTRANGE(""https://docs.google.com/spreadsheets/d/1XL5vhW3sbDhbH9Cz0tuDiY8C3ctxq1tqvaCgkFb8cCA/edit?usp=sharing"",""ชัยภูมิ!J87"")"),0)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IFERROR(__xludf.DUMMYFUNCTION("IMPORTRANGE(""https://docs.google.com/spreadsheets/d/1XL5vhW3sbDhbH9Cz0tuDiY8C3ctxq1tqvaCgkFb8cCA/edit?usp=sharing"",""ชัยภูมิ!J88"")"),0)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IFERROR(__xludf.DUMMYFUNCTION("IMPORTRANGE(""https://docs.google.com/spreadsheets/d/1XL5vhW3sbDhbH9Cz0tuDiY8C3ctxq1tqvaCgkFb8cCA/edit?usp=sharing"",""ชัยภูมิ!I89"")"),4)</f>
        <v>4</v>
      </c>
      <c r="J164" s="284">
        <f ca="1">IFERROR(__xludf.DUMMYFUNCTION("IMPORTRANGE(""https://docs.google.com/spreadsheets/d/1XL5vhW3sbDhbH9Cz0tuDiY8C3ctxq1tqvaCgkFb8cCA/edit?usp=sharing"",""ชัยภูมิ!J89"")"),0)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IFERROR(__xludf.DUMMYFUNCTION("IMPORTRANGE(""https://docs.google.com/spreadsheets/d/1XL5vhW3sbDhbH9Cz0tuDiY8C3ctxq1tqvaCgkFb8cCA/edit?usp=sharing"",""ชัยภูมิ!J94"")"),0)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IFERROR(__xludf.DUMMYFUNCTION("IMPORTRANGE(""https://docs.google.com/spreadsheets/d/1XL5vhW3sbDhbH9Cz0tuDiY8C3ctxq1tqvaCgkFb8cCA/edit?usp=sharing"",""ชัยภูมิ!J95"")"),1)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IFERROR(__xludf.DUMMYFUNCTION("IMPORTRANGE(""https://docs.google.com/spreadsheets/d/1XL5vhW3sbDhbH9Cz0tuDiY8C3ctxq1tqvaCgkFb8cCA/edit?usp=sharing"",""ชัยภูมิ!J96"")"),1)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IFERROR(__xludf.DUMMYFUNCTION("IMPORTRANGE(""https://docs.google.com/spreadsheets/d/1XL5vhW3sbDhbH9Cz0tuDiY8C3ctxq1tqvaCgkFb8cCA/edit?usp=sharing"",""ชัยภูมิ!J97"")"),1)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IFERROR(__xludf.DUMMYFUNCTION("IMPORTRANGE(""https://docs.google.com/spreadsheets/d/1XL5vhW3sbDhbH9Cz0tuDiY8C3ctxq1tqvaCgkFb8cCA/edit?usp=sharing"",""ชัยภูมิ!I98"")"),4)</f>
        <v>4</v>
      </c>
      <c r="J173" s="190">
        <f ca="1">IFERROR(__xludf.DUMMYFUNCTION("IMPORTRANGE(""https://docs.google.com/spreadsheets/d/1XL5vhW3sbDhbH9Cz0tuDiY8C3ctxq1tqvaCgkFb8cCA/edit?usp=sharing"",""ชัยภูมิ!J98"")"),0)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IFERROR(__xludf.DUMMYFUNCTION("IMPORTRANGE(""https://docs.google.com/spreadsheets/d/1XL5vhW3sbDhbH9Cz0tuDiY8C3ctxq1tqvaCgkFb8cCA/edit?usp=sharing"",""ชัยภูมิ!J99"")"),0)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IFERROR(__xludf.DUMMYFUNCTION("IMPORTRANGE(""https://docs.google.com/spreadsheets/d/1XL5vhW3sbDhbH9Cz0tuDiY8C3ctxq1tqvaCgkFb8cCA/edit?usp=sharing"",""ชัยภูมิ!J100"")"),0)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IFERROR(__xludf.DUMMYFUNCTION("IMPORTRANGE(""https://docs.google.com/spreadsheets/d/1XL5vhW3sbDhbH9Cz0tuDiY8C3ctxq1tqvaCgkFb8cCA/edit?usp=sharing"",""ชัยภูมิ!I101"")"),0)</f>
        <v>0</v>
      </c>
      <c r="J176" s="284">
        <f ca="1">IFERROR(__xludf.DUMMYFUNCTION("IMPORTRANGE(""https://docs.google.com/spreadsheets/d/1XL5vhW3sbDhbH9Cz0tuDiY8C3ctxq1tqvaCgkFb8cCA/edit?usp=sharing"",""ชัยภูมิ!J101"")"),0)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IFERROR(__xludf.DUMMYFUNCTION("IMPORTRANGE(""https://docs.google.com/spreadsheets/d/1XL5vhW3sbDhbH9Cz0tuDiY8C3ctxq1tqvaCgkFb8cCA/edit?usp=sharing"",""ชัยภูมิ!I110"")"),0)</f>
        <v>0</v>
      </c>
      <c r="J185" s="205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IFERROR(__xludf.DUMMYFUNCTION("IMPORTRANGE(""https://docs.google.com/spreadsheets/d/1XL5vhW3sbDhbH9Cz0tuDiY8C3ctxq1tqvaCgkFb8cCA/edit?usp=sharing"",""ชัยภูมิ!I111"")"),0)</f>
        <v>0</v>
      </c>
      <c r="J186" s="205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IFERROR(__xludf.DUMMYFUNCTION("IMPORTRANGE(""https://docs.google.com/spreadsheets/d/1XL5vhW3sbDhbH9Cz0tuDiY8C3ctxq1tqvaCgkFb8cCA/edit?usp=sharing"",""ชัยภูมิ!I114"")"),50000)</f>
        <v>50000</v>
      </c>
      <c r="J189" s="284">
        <f ca="1">IFERROR(__xludf.DUMMYFUNCTION("IMPORTRANGE(""https://docs.google.com/spreadsheets/d/1XL5vhW3sbDhbH9Cz0tuDiY8C3ctxq1tqvaCgkFb8cCA/edit?usp=sharing"",""ชัยภูมิ!J114"")"),0)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IFERROR(__xludf.DUMMYFUNCTION("IMPORTRANGE(""https://docs.google.com/spreadsheets/d/1XL5vhW3sbDhbH9Cz0tuDiY8C3ctxq1tqvaCgkFb8cCA/edit?usp=sharing"",""ชัยภูมิ!J119"")"),0)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IFERROR(__xludf.DUMMYFUNCTION("IMPORTRANGE(""https://docs.google.com/spreadsheets/d/1XL5vhW3sbDhbH9Cz0tuDiY8C3ctxq1tqvaCgkFb8cCA/edit?usp=sharing"",""ชัยภูมิ!J120"")"),1)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IFERROR(__xludf.DUMMYFUNCTION("IMPORTRANGE(""https://docs.google.com/spreadsheets/d/1XL5vhW3sbDhbH9Cz0tuDiY8C3ctxq1tqvaCgkFb8cCA/edit?usp=sharing"",""ชัยภูมิ!J121"")"),1)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IFERROR(__xludf.DUMMYFUNCTION("IMPORTRANGE(""https://docs.google.com/spreadsheets/d/1XL5vhW3sbDhbH9Cz0tuDiY8C3ctxq1tqvaCgkFb8cCA/edit?usp=sharing"",""ชัยภูมิ!J122"")"),1)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IFERROR(__xludf.DUMMYFUNCTION("IMPORTRANGE(""https://docs.google.com/spreadsheets/d/1XL5vhW3sbDhbH9Cz0tuDiY8C3ctxq1tqvaCgkFb8cCA/edit?usp=sharing"",""ชัยภูมิ!I124"")"),50000)</f>
        <v>50000</v>
      </c>
      <c r="J199" s="190">
        <f ca="1">IFERROR(__xludf.DUMMYFUNCTION("IMPORTRANGE(""https://docs.google.com/spreadsheets/d/1XL5vhW3sbDhbH9Cz0tuDiY8C3ctxq1tqvaCgkFb8cCA/edit?usp=sharing"",""ชัยภูมิ!J124"")"),0)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IFERROR(__xludf.DUMMYFUNCTION("IMPORTRANGE(""https://docs.google.com/spreadsheets/d/1XL5vhW3sbDhbH9Cz0tuDiY8C3ctxq1tqvaCgkFb8cCA/edit?usp=sharing"",""ชัยภูมิ!I125"")"),50000)</f>
        <v>50000</v>
      </c>
      <c r="J200" s="190">
        <f ca="1">IFERROR(__xludf.DUMMYFUNCTION("IMPORTRANGE(""https://docs.google.com/spreadsheets/d/1XL5vhW3sbDhbH9Cz0tuDiY8C3ctxq1tqvaCgkFb8cCA/edit?usp=sharing"",""ชัยภูมิ!J125"")"),0)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IFERROR(__xludf.DUMMYFUNCTION("IMPORTRANGE(""https://docs.google.com/spreadsheets/d/1XL5vhW3sbDhbH9Cz0tuDiY8C3ctxq1tqvaCgkFb8cCA/edit?usp=sharing"",""ชัยภูมิ!I126"")"),0)</f>
        <v>0</v>
      </c>
      <c r="J201" s="190">
        <f ca="1">IFERROR(__xludf.DUMMYFUNCTION("IMPORTRANGE(""https://docs.google.com/spreadsheets/d/1XL5vhW3sbDhbH9Cz0tuDiY8C3ctxq1tqvaCgkFb8cCA/edit?usp=sharing"",""ชัยภูมิ!J126"")"),0)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IFERROR(__xludf.DUMMYFUNCTION("IMPORTRANGE(""https://docs.google.com/spreadsheets/d/1XL5vhW3sbDhbH9Cz0tuDiY8C3ctxq1tqvaCgkFb8cCA/edit?usp=sharing"",""ชัยภูมิ!J127"")"),0)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IFERROR(__xludf.DUMMYFUNCTION("IMPORTRANGE(""https://docs.google.com/spreadsheets/d/1XL5vhW3sbDhbH9Cz0tuDiY8C3ctxq1tqvaCgkFb8cCA/edit?usp=sharing"",""ชัยภูมิ!J128"")"),0)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IFERROR(__xludf.DUMMYFUNCTION("IMPORTRANGE(""https://docs.google.com/spreadsheets/d/1XL5vhW3sbDhbH9Cz0tuDiY8C3ctxq1tqvaCgkFb8cCA/edit?usp=sharing"",""ชัยภูมิ!I129"")"),0)</f>
        <v>0</v>
      </c>
      <c r="J204" s="284">
        <f ca="1">IFERROR(__xludf.DUMMYFUNCTION("IMPORTRANGE(""https://docs.google.com/spreadsheets/d/1XL5vhW3sbDhbH9Cz0tuDiY8C3ctxq1tqvaCgkFb8cCA/edit?usp=sharing"",""ชัยภูมิ!J129"")"),0)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IFERROR(__xludf.DUMMYFUNCTION("IMPORTRANGE(""https://docs.google.com/spreadsheets/d/1XL5vhW3sbDhbH9Cz0tuDiY8C3ctxq1tqvaCgkFb8cCA/edit?usp=sharing"",""ชัยภูมิ!I138"")"),0)</f>
        <v>0</v>
      </c>
      <c r="J213" s="205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IFERROR(__xludf.DUMMYFUNCTION("IMPORTRANGE(""https://docs.google.com/spreadsheets/d/1XL5vhW3sbDhbH9Cz0tuDiY8C3ctxq1tqvaCgkFb8cCA/edit?usp=sharing"",""ชัยภูมิ!I140"")"),0)</f>
        <v>0</v>
      </c>
      <c r="J215" s="205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IFERROR(__xludf.DUMMYFUNCTION("IMPORTRANGE(""https://docs.google.com/spreadsheets/d/1XL5vhW3sbDhbH9Cz0tuDiY8C3ctxq1tqvaCgkFb8cCA/edit?usp=sharing"",""ชัยภูมิ!I141"")"),0)</f>
        <v>0</v>
      </c>
      <c r="J216" s="205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18380</v>
      </c>
      <c r="M224" s="169">
        <f ca="1">IFERROR(__xludf.DUMMYFUNCTION("IMPORTRANGE(""https://docs.google.com/spreadsheets/d/1Yj_ptqi66GCucihVvJfMjLAmec39IyEx_6qawtMGysU/edit?usp=sharing"",""สบก!BS40"")"),18380)</f>
        <v>18380</v>
      </c>
      <c r="N224" s="170">
        <f ca="1">IFERROR(__xludf.DUMMYFUNCTION("IMPORTRANGE(""https://docs.google.com/spreadsheets/d/1Yj_ptqi66GCucihVvJfMjLAmec39IyEx_6qawtMGysU/edit?usp=sharing"",""สบก!BT40"")"),18380)</f>
        <v>18380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IFERROR(__xludf.DUMMYFUNCTION("IMPORTRANGE(""https://docs.google.com/spreadsheets/d/1Yj_ptqi66GCucihVvJfMjLAmec39IyEx_6qawtMGysU/edit?usp=sharing"",""สบก!BO40"")"),0)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IFERROR(__xludf.DUMMYFUNCTION("IMPORTRANGE(""https://docs.google.com/spreadsheets/d/1Yj_ptqi66GCucihVvJfMjLAmec39IyEx_6qawtMGysU/edit?usp=sharing"",""สบก!BP40"")"),18380)</f>
        <v>18380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IFERROR(__xludf.DUMMYFUNCTION("IMPORTRANGE(""https://docs.google.com/spreadsheets/d/1XL5vhW3sbDhbH9Cz0tuDiY8C3ctxq1tqvaCgkFb8cCA/edit?usp=sharing"",""ชัยภูมิ!J151"")"),0)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IFERROR(__xludf.DUMMYFUNCTION("IMPORTRANGE(""https://docs.google.com/spreadsheets/d/1XL5vhW3sbDhbH9Cz0tuDiY8C3ctxq1tqvaCgkFb8cCA/edit?usp=sharing"",""ชัยภูมิ!J152"")"),1)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IFERROR(__xludf.DUMMYFUNCTION("IMPORTRANGE(""https://docs.google.com/spreadsheets/d/1XL5vhW3sbDhbH9Cz0tuDiY8C3ctxq1tqvaCgkFb8cCA/edit?usp=sharing"",""ชัยภูมิ!J153"")"),1)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IFERROR(__xludf.DUMMYFUNCTION("IMPORTRANGE(""https://docs.google.com/spreadsheets/d/1XL5vhW3sbDhbH9Cz0tuDiY8C3ctxq1tqvaCgkFb8cCA/edit?usp=sharing"",""ชัยภูมิ!J154"")"),1)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IFERROR(__xludf.DUMMYFUNCTION("IMPORTRANGE(""https://docs.google.com/spreadsheets/d/1XL5vhW3sbDhbH9Cz0tuDiY8C3ctxq1tqvaCgkFb8cCA/edit?usp=sharing"",""ชัยภูมิ!I155"")"),12)</f>
        <v>12</v>
      </c>
      <c r="J235" s="190">
        <f ca="1">IFERROR(__xludf.DUMMYFUNCTION("IMPORTRANGE(""https://docs.google.com/spreadsheets/d/1XL5vhW3sbDhbH9Cz0tuDiY8C3ctxq1tqvaCgkFb8cCA/edit?usp=sharing"",""ชัยภูมิ!J155"")"),12)</f>
        <v>12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IFERROR(__xludf.DUMMYFUNCTION("IMPORTRANGE(""https://docs.google.com/spreadsheets/d/1XL5vhW3sbDhbH9Cz0tuDiY8C3ctxq1tqvaCgkFb8cCA/edit?usp=sharing"",""ชัยภูมิ!J156"")"),0)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IFERROR(__xludf.DUMMYFUNCTION("IMPORTRANGE(""https://docs.google.com/spreadsheets/d/1XL5vhW3sbDhbH9Cz0tuDiY8C3ctxq1tqvaCgkFb8cCA/edit?usp=sharing"",""ชัยภูมิ!J157"")"),0)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IFERROR(__xludf.DUMMYFUNCTION("IMPORTRANGE(""https://docs.google.com/spreadsheets/d/1XL5vhW3sbDhbH9Cz0tuDiY8C3ctxq1tqvaCgkFb8cCA/edit?usp=sharing"",""ชัยภูมิ!J159"")"),"")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IFERROR(__xludf.DUMMYFUNCTION("IMPORTRANGE(""https://docs.google.com/spreadsheets/d/1XL5vhW3sbDhbH9Cz0tuDiY8C3ctxq1tqvaCgkFb8cCA/edit?usp=sharing"",""ชัยภูมิ!J161"")"),0)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IFERROR(__xludf.DUMMYFUNCTION("IMPORTRANGE(""https://docs.google.com/spreadsheets/d/1XL5vhW3sbDhbH9Cz0tuDiY8C3ctxq1tqvaCgkFb8cCA/edit?usp=sharing"",""ชัยภูมิ!J162"")"),0)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IFERROR(__xludf.DUMMYFUNCTION("IMPORTRANGE(""https://docs.google.com/spreadsheets/d/1XL5vhW3sbDhbH9Cz0tuDiY8C3ctxq1tqvaCgkFb8cCA/edit?usp=sharing"",""ชัยภูมิ!J163"")"),0)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IFERROR(__xludf.DUMMYFUNCTION("IMPORTRANGE(""https://docs.google.com/spreadsheets/d/1XL5vhW3sbDhbH9Cz0tuDiY8C3ctxq1tqvaCgkFb8cCA/edit?usp=sharing"",""ชัยภูมิ!I164"")"),0)</f>
        <v>0</v>
      </c>
      <c r="J244" s="189">
        <f ca="1">IFERROR(__xludf.DUMMYFUNCTION("IMPORTRANGE(""https://docs.google.com/spreadsheets/d/1XL5vhW3sbDhbH9Cz0tuDiY8C3ctxq1tqvaCgkFb8cCA/edit?usp=sharing"",""ชัยภูมิ!J164"")"),0)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IFERROR(__xludf.DUMMYFUNCTION("IMPORTRANGE(""https://docs.google.com/spreadsheets/d/1XL5vhW3sbDhbH9Cz0tuDiY8C3ctxq1tqvaCgkFb8cCA/edit?usp=sharing"",""ชัยภูมิ!J165"")"),0)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IFERROR(__xludf.DUMMYFUNCTION("IMPORTRANGE(""https://docs.google.com/spreadsheets/d/1XL5vhW3sbDhbH9Cz0tuDiY8C3ctxq1tqvaCgkFb8cCA/edit?usp=sharing"",""ชัยภูมิ!I169"")"),0)</f>
        <v>0</v>
      </c>
      <c r="J249" s="316">
        <f ca="1">IFERROR(__xludf.DUMMYFUNCTION("IMPORTRANGE(""https://docs.google.com/spreadsheets/d/1XL5vhW3sbDhbH9Cz0tuDiY8C3ctxq1tqvaCgkFb8cCA/edit?usp=sharing"",""ชัยภูมิ!J169"")"),0)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IFERROR(__xludf.DUMMYFUNCTION("IMPORTRANGE(""https://docs.google.com/spreadsheets/d/1Yj_ptqi66GCucihVvJfMjLAmec39IyEx_6qawtMGysU/edit?usp=sharing"",""สบก!CB40"")"),0)</f>
        <v>0</v>
      </c>
      <c r="N254" s="170">
        <f ca="1">IFERROR(__xludf.DUMMYFUNCTION("IMPORTRANGE(""https://docs.google.com/spreadsheets/d/1Yj_ptqi66GCucihVvJfMjLAmec39IyEx_6qawtMGysU/edit?usp=sharing"",""สบก!CC40"")"),0)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IFERROR(__xludf.DUMMYFUNCTION("IMPORTRANGE(""https://docs.google.com/spreadsheets/d/1Yj_ptqi66GCucihVvJfMjLAmec39IyEx_6qawtMGysU/edit?usp=sharing"",""สบก!BX40"")"),0)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IFERROR(__xludf.DUMMYFUNCTION("IMPORTRANGE(""https://docs.google.com/spreadsheets/d/1Yj_ptqi66GCucihVvJfMjLAmec39IyEx_6qawtMGysU/edit?usp=sharing"",""สบก!BY40"")"),0)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IFERROR(__xludf.DUMMYFUNCTION("IMPORTRANGE(""https://docs.google.com/spreadsheets/d/1XL5vhW3sbDhbH9Cz0tuDiY8C3ctxq1tqvaCgkFb8cCA/edit?usp=sharing"",""ชัยภูมิ!J175"")"),0)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IFERROR(__xludf.DUMMYFUNCTION("IMPORTRANGE(""https://docs.google.com/spreadsheets/d/1XL5vhW3sbDhbH9Cz0tuDiY8C3ctxq1tqvaCgkFb8cCA/edit?usp=sharing"",""ชัยภูมิ!J176"")"),0)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IFERROR(__xludf.DUMMYFUNCTION("IMPORTRANGE(""https://docs.google.com/spreadsheets/d/1XL5vhW3sbDhbH9Cz0tuDiY8C3ctxq1tqvaCgkFb8cCA/edit?usp=sharing"",""ชัยภูมิ!J177"")"),0)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IFERROR(__xludf.DUMMYFUNCTION("IMPORTRANGE(""https://docs.google.com/spreadsheets/d/1XL5vhW3sbDhbH9Cz0tuDiY8C3ctxq1tqvaCgkFb8cCA/edit?usp=sharing"",""ชัยภูมิ!J178"")"),0)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IFERROR(__xludf.DUMMYFUNCTION("IMPORTRANGE(""https://docs.google.com/spreadsheets/d/1XL5vhW3sbDhbH9Cz0tuDiY8C3ctxq1tqvaCgkFb8cCA/edit?usp=sharing"",""ชัยภูมิ!I179"")"),0)</f>
        <v>0</v>
      </c>
      <c r="J264" s="190">
        <f ca="1">IFERROR(__xludf.DUMMYFUNCTION("IMPORTRANGE(""https://docs.google.com/spreadsheets/d/1XL5vhW3sbDhbH9Cz0tuDiY8C3ctxq1tqvaCgkFb8cCA/edit?usp=sharing"",""ชัยภูมิ!J179"")"),0)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IFERROR(__xludf.DUMMYFUNCTION("IMPORTRANGE(""https://docs.google.com/spreadsheets/d/1XL5vhW3sbDhbH9Cz0tuDiY8C3ctxq1tqvaCgkFb8cCA/edit?usp=sharing"",""ชัยภูมิ!I180"")"),0)</f>
        <v>0</v>
      </c>
      <c r="J265" s="190">
        <f ca="1">IFERROR(__xludf.DUMMYFUNCTION("IMPORTRANGE(""https://docs.google.com/spreadsheets/d/1XL5vhW3sbDhbH9Cz0tuDiY8C3ctxq1tqvaCgkFb8cCA/edit?usp=sharing"",""ชัยภูมิ!J180"")"),0)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IFERROR(__xludf.DUMMYFUNCTION("IMPORTRANGE(""https://docs.google.com/spreadsheets/d/1XL5vhW3sbDhbH9Cz0tuDiY8C3ctxq1tqvaCgkFb8cCA/edit?usp=sharing"",""ชัยภูมิ!I181"")"),0)</f>
        <v>0</v>
      </c>
      <c r="J266" s="190">
        <f ca="1">IFERROR(__xludf.DUMMYFUNCTION("IMPORTRANGE(""https://docs.google.com/spreadsheets/d/1XL5vhW3sbDhbH9Cz0tuDiY8C3ctxq1tqvaCgkFb8cCA/edit?usp=sharing"",""ชัยภูมิ!J181"")"),0)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IFERROR(__xludf.DUMMYFUNCTION("IMPORTRANGE(""https://docs.google.com/spreadsheets/d/1XL5vhW3sbDhbH9Cz0tuDiY8C3ctxq1tqvaCgkFb8cCA/edit?usp=sharing"",""ชัยภูมิ!I182"")"),0)</f>
        <v>0</v>
      </c>
      <c r="J267" s="190">
        <f ca="1">IFERROR(__xludf.DUMMYFUNCTION("IMPORTRANGE(""https://docs.google.com/spreadsheets/d/1XL5vhW3sbDhbH9Cz0tuDiY8C3ctxq1tqvaCgkFb8cCA/edit?usp=sharing"",""ชัยภูมิ!J182"")"),0)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IFERROR(__xludf.DUMMYFUNCTION("IMPORTRANGE(""https://docs.google.com/spreadsheets/d/1XL5vhW3sbDhbH9Cz0tuDiY8C3ctxq1tqvaCgkFb8cCA/edit?usp=sharing"",""ชัยภูมิ!J183"")"),0)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IFERROR(__xludf.DUMMYFUNCTION("IMPORTRANGE(""https://docs.google.com/spreadsheets/d/1XL5vhW3sbDhbH9Cz0tuDiY8C3ctxq1tqvaCgkFb8cCA/edit?usp=sharing"",""ชัยภูมิ!J184"")"),0)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IFERROR(__xludf.DUMMYFUNCTION("IMPORTRANGE(""https://docs.google.com/spreadsheets/d/1XL5vhW3sbDhbH9Cz0tuDiY8C3ctxq1tqvaCgkFb8cCA/edit?usp=sharing"",""ชัยภูมิ!I185"")"),15)</f>
        <v>15</v>
      </c>
      <c r="J270" s="316">
        <f ca="1">IFERROR(__xludf.DUMMYFUNCTION("IMPORTRANGE(""https://docs.google.com/spreadsheets/d/1XL5vhW3sbDhbH9Cz0tuDiY8C3ctxq1tqvaCgkFb8cCA/edit?usp=sharing"",""ชัยภูมิ!J185"")"),15)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319200</v>
      </c>
      <c r="M271" s="152">
        <f t="shared" ca="1" si="83"/>
        <v>164250</v>
      </c>
      <c r="N271" s="152">
        <f t="shared" ca="1" si="83"/>
        <v>97324</v>
      </c>
      <c r="O271" s="151">
        <f t="shared" ref="O271:O273" ca="1" si="84">IF(L271&gt;0,N271*100/L271,0)</f>
        <v>30.489974937343359</v>
      </c>
      <c r="P271" s="151">
        <f t="shared" ref="P271:P273" ca="1" si="85">IF(M271&gt;0,N271*100/M271,0)</f>
        <v>59.253576864535766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319200</v>
      </c>
      <c r="M273" s="157">
        <f t="shared" ca="1" si="87"/>
        <v>164250</v>
      </c>
      <c r="N273" s="157">
        <f t="shared" ca="1" si="87"/>
        <v>97324</v>
      </c>
      <c r="O273" s="156">
        <f t="shared" ca="1" si="84"/>
        <v>30.489974937343359</v>
      </c>
      <c r="P273" s="156">
        <f t="shared" ca="1" si="85"/>
        <v>59.253576864535766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319200</v>
      </c>
      <c r="M275" s="169">
        <f ca="1">IFERROR(__xludf.DUMMYFUNCTION("IMPORTRANGE(""https://docs.google.com/spreadsheets/d/1Yj_ptqi66GCucihVvJfMjLAmec39IyEx_6qawtMGysU/edit?usp=sharing"",""สบก!CK40"")"),164250)</f>
        <v>164250</v>
      </c>
      <c r="N275" s="170">
        <f ca="1">IFERROR(__xludf.DUMMYFUNCTION("IMPORTRANGE(""https://docs.google.com/spreadsheets/d/1Yj_ptqi66GCucihVvJfMjLAmec39IyEx_6qawtMGysU/edit?usp=sharing"",""สบก!CL40"")"),97324)</f>
        <v>97324</v>
      </c>
      <c r="O275" s="170">
        <f ca="1">IF(L275&gt;0,N275*100/L275,0)</f>
        <v>30.489974937343359</v>
      </c>
      <c r="P275" s="170">
        <f ca="1">IF(M275&gt;0,N275*100/M275,0)</f>
        <v>59.253576864535766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IFERROR(__xludf.DUMMYFUNCTION("IMPORTRANGE(""https://docs.google.com/spreadsheets/d/1Yj_ptqi66GCucihVvJfMjLAmec39IyEx_6qawtMGysU/edit?usp=sharing"",""สบก!CG40"")"),264000)</f>
        <v>264000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IFERROR(__xludf.DUMMYFUNCTION("IMPORTRANGE(""https://docs.google.com/spreadsheets/d/1Yj_ptqi66GCucihVvJfMjLAmec39IyEx_6qawtMGysU/edit?usp=sharing"",""สบก!CH40"")"),55200)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IFERROR(__xludf.DUMMYFUNCTION("IMPORTRANGE(""https://docs.google.com/spreadsheets/d/1XL5vhW3sbDhbH9Cz0tuDiY8C3ctxq1tqvaCgkFb8cCA/edit?usp=sharing"",""ชัยภูมิ!J191"")"),0)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IFERROR(__xludf.DUMMYFUNCTION("IMPORTRANGE(""https://docs.google.com/spreadsheets/d/1XL5vhW3sbDhbH9Cz0tuDiY8C3ctxq1tqvaCgkFb8cCA/edit?usp=sharing"",""ชัยภูมิ!J192"")"),1)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IFERROR(__xludf.DUMMYFUNCTION("IMPORTRANGE(""https://docs.google.com/spreadsheets/d/1XL5vhW3sbDhbH9Cz0tuDiY8C3ctxq1tqvaCgkFb8cCA/edit?usp=sharing"",""ชัยภูมิ!J193"")"),1)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IFERROR(__xludf.DUMMYFUNCTION("IMPORTRANGE(""https://docs.google.com/spreadsheets/d/1XL5vhW3sbDhbH9Cz0tuDiY8C3ctxq1tqvaCgkFb8cCA/edit?usp=sharing"",""ชัยภูมิ!J194"")"),1)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IFERROR(__xludf.DUMMYFUNCTION("IMPORTRANGE(""https://docs.google.com/spreadsheets/d/1XL5vhW3sbDhbH9Cz0tuDiY8C3ctxq1tqvaCgkFb8cCA/edit?usp=sharing"",""ชัยภูมิ!I195"")"),15)</f>
        <v>15</v>
      </c>
      <c r="J285" s="190">
        <f ca="1">IFERROR(__xludf.DUMMYFUNCTION("IMPORTRANGE(""https://docs.google.com/spreadsheets/d/1XL5vhW3sbDhbH9Cz0tuDiY8C3ctxq1tqvaCgkFb8cCA/edit?usp=sharing"",""ชัยภูมิ!J195"")"),15)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IFERROR(__xludf.DUMMYFUNCTION("IMPORTRANGE(""https://docs.google.com/spreadsheets/d/1XL5vhW3sbDhbH9Cz0tuDiY8C3ctxq1tqvaCgkFb8cCA/edit?usp=sharing"",""ชัยภูมิ!J196"")"),0)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IFERROR(__xludf.DUMMYFUNCTION("IMPORTRANGE(""https://docs.google.com/spreadsheets/d/1XL5vhW3sbDhbH9Cz0tuDiY8C3ctxq1tqvaCgkFb8cCA/edit?usp=sharing"",""ชัยภูมิ!J197"")"),0)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IFERROR(__xludf.DUMMYFUNCTION("IMPORTRANGE(""https://docs.google.com/spreadsheets/d/1XL5vhW3sbDhbH9Cz0tuDiY8C3ctxq1tqvaCgkFb8cCA/edit?usp=sharing"",""ชัยภูมิ!I199"")"),0)</f>
        <v>0</v>
      </c>
      <c r="J289" s="316">
        <f ca="1">IFERROR(__xludf.DUMMYFUNCTION("IMPORTRANGE(""https://docs.google.com/spreadsheets/d/1XL5vhW3sbDhbH9Cz0tuDiY8C3ctxq1tqvaCgkFb8cCA/edit?usp=sharing"",""ชัยภูมิ!J199"")"),0)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IFERROR(__xludf.DUMMYFUNCTION("IMPORTRANGE(""https://docs.google.com/spreadsheets/d/1Yj_ptqi66GCucihVvJfMjLAmec39IyEx_6qawtMGysU/edit?usp=sharing"",""สบก!CT40"")"),0)</f>
        <v>0</v>
      </c>
      <c r="N294" s="170">
        <f ca="1">IFERROR(__xludf.DUMMYFUNCTION("IMPORTRANGE(""https://docs.google.com/spreadsheets/d/1Yj_ptqi66GCucihVvJfMjLAmec39IyEx_6qawtMGysU/edit?usp=sharing"",""สบก!CU40"")"),0)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IFERROR(__xludf.DUMMYFUNCTION("IMPORTRANGE(""https://docs.google.com/spreadsheets/d/1Yj_ptqi66GCucihVvJfMjLAmec39IyEx_6qawtMGysU/edit?usp=sharing"",""สบก!CP40"")"),0)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IFERROR(__xludf.DUMMYFUNCTION("IMPORTRANGE(""https://docs.google.com/spreadsheets/d/1Yj_ptqi66GCucihVvJfMjLAmec39IyEx_6qawtMGysU/edit?usp=sharing"",""สบก!CQ40"")"),0)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IFERROR(__xludf.DUMMYFUNCTION("IMPORTRANGE(""https://docs.google.com/spreadsheets/d/1XL5vhW3sbDhbH9Cz0tuDiY8C3ctxq1tqvaCgkFb8cCA/edit?usp=sharing"",""ชัยภูมิ!I209"")"),0)</f>
        <v>0</v>
      </c>
      <c r="J304" s="205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IFERROR(__xludf.DUMMYFUNCTION("IMPORTRANGE(""https://docs.google.com/spreadsheets/d/1XL5vhW3sbDhbH9Cz0tuDiY8C3ctxq1tqvaCgkFb8cCA/edit?usp=sharing"",""ชัยภูมิ!I211"")"),0)</f>
        <v>0</v>
      </c>
      <c r="J306" s="205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IFERROR(__xludf.DUMMYFUNCTION("IMPORTRANGE(""https://docs.google.com/spreadsheets/d/1XL5vhW3sbDhbH9Cz0tuDiY8C3ctxq1tqvaCgkFb8cCA/edit?usp=sharing"",""ชัยภูมิ!I214"")"),0)</f>
        <v>0</v>
      </c>
      <c r="J309" s="333">
        <f ca="1">IFERROR(__xludf.DUMMYFUNCTION("IMPORTRANGE(""https://docs.google.com/spreadsheets/d/1XL5vhW3sbDhbH9Cz0tuDiY8C3ctxq1tqvaCgkFb8cCA/edit?usp=sharing"",""ชัยภูมิ!J214"")"),0)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IFERROR(__xludf.DUMMYFUNCTION("IMPORTRANGE(""https://docs.google.com/spreadsheets/d/1Yj_ptqi66GCucihVvJfMjLAmec39IyEx_6qawtMGysU/edit?usp=sharing"",""สบก!DC40"")"),0)</f>
        <v>0</v>
      </c>
      <c r="N314" s="170">
        <f ca="1">IFERROR(__xludf.DUMMYFUNCTION("IMPORTRANGE(""https://docs.google.com/spreadsheets/d/1Yj_ptqi66GCucihVvJfMjLAmec39IyEx_6qawtMGysU/edit?usp=sharing"",""สบก!DD40"")"),0)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IFERROR(__xludf.DUMMYFUNCTION("IMPORTRANGE(""https://docs.google.com/spreadsheets/d/1Yj_ptqi66GCucihVvJfMjLAmec39IyEx_6qawtMGysU/edit?usp=sharing"",""สบก!CY40"")"),0)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IFERROR(__xludf.DUMMYFUNCTION("IMPORTRANGE(""https://docs.google.com/spreadsheets/d/1Yj_ptqi66GCucihVvJfMjLAmec39IyEx_6qawtMGysU/edit?usp=sharing"",""สบก!CZ40"")"),0)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IFERROR(__xludf.DUMMYFUNCTION("IMPORTRANGE(""https://docs.google.com/spreadsheets/d/1XL5vhW3sbDhbH9Cz0tuDiY8C3ctxq1tqvaCgkFb8cCA/edit?usp=sharing"",""ชัยภูมิ!I224"")"),0)</f>
        <v>0</v>
      </c>
      <c r="J324" s="205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IFERROR(__xludf.DUMMYFUNCTION("IMPORTRANGE(""https://docs.google.com/spreadsheets/d/1XL5vhW3sbDhbH9Cz0tuDiY8C3ctxq1tqvaCgkFb8cCA/edit?usp=sharing"",""ชัยภูมิ!I228"")"),920)</f>
        <v>920</v>
      </c>
      <c r="J328" s="339">
        <f ca="1">IFERROR(__xludf.DUMMYFUNCTION("IMPORTRANGE(""https://docs.google.com/spreadsheets/d/1XL5vhW3sbDhbH9Cz0tuDiY8C3ctxq1tqvaCgkFb8cCA/edit?usp=sharing"",""ชัยภูมิ!J228"")"),85)</f>
        <v>85</v>
      </c>
      <c r="K328" s="317">
        <f ca="1">IF(I328&gt;0,J328*100/I328,0)</f>
        <v>9.2391304347826093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2187270</v>
      </c>
      <c r="M329" s="152">
        <f t="shared" ca="1" si="98"/>
        <v>1266090</v>
      </c>
      <c r="N329" s="152">
        <f t="shared" ca="1" si="98"/>
        <v>980812</v>
      </c>
      <c r="O329" s="151">
        <f t="shared" ref="O329:O331" ca="1" si="99">IF(L329&gt;0,N329*100/L329,0)</f>
        <v>44.841834798630259</v>
      </c>
      <c r="P329" s="151">
        <f t="shared" ref="P329:P331" ca="1" si="100">IF(M329&gt;0,N329*100/M329,0)</f>
        <v>77.467794548570794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2187270</v>
      </c>
      <c r="M331" s="157">
        <f t="shared" ca="1" si="102"/>
        <v>1266090</v>
      </c>
      <c r="N331" s="157">
        <f t="shared" ca="1" si="102"/>
        <v>980812</v>
      </c>
      <c r="O331" s="156">
        <f t="shared" ca="1" si="99"/>
        <v>44.841834798630259</v>
      </c>
      <c r="P331" s="156">
        <f t="shared" ca="1" si="100"/>
        <v>77.467794548570794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2187270</v>
      </c>
      <c r="M333" s="169">
        <f ca="1">IFERROR(__xludf.DUMMYFUNCTION("IMPORTRANGE(""https://docs.google.com/spreadsheets/d/1Yj_ptqi66GCucihVvJfMjLAmec39IyEx_6qawtMGysU/edit?usp=sharing"",""สบก!DL40"")"),1266090)</f>
        <v>1266090</v>
      </c>
      <c r="N333" s="170">
        <f ca="1">IFERROR(__xludf.DUMMYFUNCTION("IMPORTRANGE(""https://docs.google.com/spreadsheets/d/1Yj_ptqi66GCucihVvJfMjLAmec39IyEx_6qawtMGysU/edit?usp=sharing"",""สบก!DM40"")"),980812)</f>
        <v>980812</v>
      </c>
      <c r="O333" s="170">
        <f ca="1">IF(L333&gt;0,N333*100/L333,0)</f>
        <v>44.841834798630259</v>
      </c>
      <c r="P333" s="170">
        <f ca="1">IF(M333&gt;0,N333*100/M333,0)</f>
        <v>77.467794548570794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IFERROR(__xludf.DUMMYFUNCTION("IMPORTRANGE(""https://docs.google.com/spreadsheets/d/1Yj_ptqi66GCucihVvJfMjLAmec39IyEx_6qawtMGysU/edit?usp=sharing"",""สบก!DH40"")"),830300)</f>
        <v>830300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IFERROR(__xludf.DUMMYFUNCTION("IMPORTRANGE(""https://docs.google.com/spreadsheets/d/1Yj_ptqi66GCucihVvJfMjLAmec39IyEx_6qawtMGysU/edit?usp=sharing"",""สบก!DI40"")"),1356970)</f>
        <v>1356970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IFERROR(__xludf.DUMMYFUNCTION("IMPORTRANGE(""https://docs.google.com/spreadsheets/d/1XL5vhW3sbDhbH9Cz0tuDiY8C3ctxq1tqvaCgkFb8cCA/edit?usp=sharing"",""ชัยภูมิ!I234"")"),0)</f>
        <v>0</v>
      </c>
      <c r="J339" s="189">
        <f ca="1">IFERROR(__xludf.DUMMYFUNCTION("IMPORTRANGE(""https://docs.google.com/spreadsheets/d/1XL5vhW3sbDhbH9Cz0tuDiY8C3ctxq1tqvaCgkFb8cCA/edit?usp=sharing"",""ชัยภูมิ!J234"")"),286)</f>
        <v>286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IFERROR(__xludf.DUMMYFUNCTION("IMPORTRANGE(""https://docs.google.com/spreadsheets/d/1XL5vhW3sbDhbH9Cz0tuDiY8C3ctxq1tqvaCgkFb8cCA/edit?usp=sharing"",""ชัยภูมิ!I235"")"),11000)</f>
        <v>11000</v>
      </c>
      <c r="J340" s="189">
        <f ca="1">IFERROR(__xludf.DUMMYFUNCTION("IMPORTRANGE(""https://docs.google.com/spreadsheets/d/1XL5vhW3sbDhbH9Cz0tuDiY8C3ctxq1tqvaCgkFb8cCA/edit?usp=sharing"",""ชัยภูมิ!J235"")"),2893.41)</f>
        <v>2893.41</v>
      </c>
      <c r="K340" s="342">
        <f t="shared" ca="1" si="103"/>
        <v>26.303727272727272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IFERROR(__xludf.DUMMYFUNCTION("IMPORTRANGE(""https://docs.google.com/spreadsheets/d/1XL5vhW3sbDhbH9Cz0tuDiY8C3ctxq1tqvaCgkFb8cCA/edit?usp=sharing"",""ชัยภูมิ!I236"")"),920)</f>
        <v>920</v>
      </c>
      <c r="J341" s="189">
        <f ca="1">IFERROR(__xludf.DUMMYFUNCTION("IMPORTRANGE(""https://docs.google.com/spreadsheets/d/1XL5vhW3sbDhbH9Cz0tuDiY8C3ctxq1tqvaCgkFb8cCA/edit?usp=sharing"",""ชัยภูมิ!J236"")"),251)</f>
        <v>251</v>
      </c>
      <c r="K341" s="342">
        <f t="shared" ca="1" si="103"/>
        <v>27.282608695652176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9">
        <f ca="1">IFERROR(__xludf.DUMMYFUNCTION("IMPORTRANGE(""https://docs.google.com/spreadsheets/d/1XL5vhW3sbDhbH9Cz0tuDiY8C3ctxq1tqvaCgkFb8cCA/edit?usp=sharing"",""ชัยภูมิ!J237"")"),3156.32)</f>
        <v>3156.32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IFERROR(__xludf.DUMMYFUNCTION("IMPORTRANGE(""https://docs.google.com/spreadsheets/d/1XL5vhW3sbDhbH9Cz0tuDiY8C3ctxq1tqvaCgkFb8cCA/edit?usp=sharing"",""ชัยภูมิ!I238"")"),920)</f>
        <v>920</v>
      </c>
      <c r="J343" s="189">
        <f ca="1">IFERROR(__xludf.DUMMYFUNCTION("IMPORTRANGE(""https://docs.google.com/spreadsheets/d/1XL5vhW3sbDhbH9Cz0tuDiY8C3ctxq1tqvaCgkFb8cCA/edit?usp=sharing"",""ชัยภูมิ!J238"")"),0)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9">
        <f ca="1">IFERROR(__xludf.DUMMYFUNCTION("IMPORTRANGE(""https://docs.google.com/spreadsheets/d/1XL5vhW3sbDhbH9Cz0tuDiY8C3ctxq1tqvaCgkFb8cCA/edit?usp=sharing"",""ชัยภูมิ!J239"")"),0)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IFERROR(__xludf.DUMMYFUNCTION("IMPORTRANGE(""https://docs.google.com/spreadsheets/d/1XL5vhW3sbDhbH9Cz0tuDiY8C3ctxq1tqvaCgkFb8cCA/edit?usp=sharing"",""ชัยภูมิ!I240"")"),920)</f>
        <v>920</v>
      </c>
      <c r="J345" s="189">
        <f ca="1">IFERROR(__xludf.DUMMYFUNCTION("IMPORTRANGE(""https://docs.google.com/spreadsheets/d/1XL5vhW3sbDhbH9Cz0tuDiY8C3ctxq1tqvaCgkFb8cCA/edit?usp=sharing"",""ชัยภูมิ!J240"")"),85)</f>
        <v>85</v>
      </c>
      <c r="K345" s="342">
        <f t="shared" ca="1" si="103"/>
        <v>9.2391304347826093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9">
        <f ca="1">IFERROR(__xludf.DUMMYFUNCTION("IMPORTRANGE(""https://docs.google.com/spreadsheets/d/1XL5vhW3sbDhbH9Cz0tuDiY8C3ctxq1tqvaCgkFb8cCA/edit?usp=sharing"",""ชัยภูมิ!J241"")"),1384.77)</f>
        <v>1384.77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IFERROR(__xludf.DUMMYFUNCTION("IMPORTRANGE(""https://docs.google.com/spreadsheets/d/1XL5vhW3sbDhbH9Cz0tuDiY8C3ctxq1tqvaCgkFb8cCA/edit?usp=sharing"",""ชัยภูมิ!L242"")"),2067483)</f>
        <v>2067483</v>
      </c>
      <c r="M347" s="358"/>
      <c r="N347" s="358">
        <f ca="1">IFERROR(__xludf.DUMMYFUNCTION("IMPORTRANGE(""https://docs.google.com/spreadsheets/d/1XL5vhW3sbDhbH9Cz0tuDiY8C3ctxq1tqvaCgkFb8cCA/edit?usp=sharing"",""ชัยภูมิ!M242"")"),284423)</f>
        <v>284423</v>
      </c>
      <c r="O347" s="358">
        <f ca="1">+IF(L347&gt;0,N347*100/L347,0)</f>
        <v>13.756969222963381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IFERROR(__xludf.DUMMYFUNCTION("IMPORTRANGE(""https://docs.google.com/spreadsheets/d/1XL5vhW3sbDhbH9Cz0tuDiY8C3ctxq1tqvaCgkFb8cCA/edit?usp=sharing"",""ชัยภูมิ!L246"")"),0)</f>
        <v>0</v>
      </c>
      <c r="M351" s="166"/>
      <c r="N351" s="166">
        <f ca="1">IFERROR(__xludf.DUMMYFUNCTION("IMPORTRANGE(""https://docs.google.com/spreadsheets/d/1XL5vhW3sbDhbH9Cz0tuDiY8C3ctxq1tqvaCgkFb8cCA/edit?usp=sharing"",""ชัยภูมิ!M246"")"),0)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IFERROR(__xludf.DUMMYFUNCTION("IMPORTRANGE(""https://docs.google.com/spreadsheets/d/1XL5vhW3sbDhbH9Cz0tuDiY8C3ctxq1tqvaCgkFb8cCA/edit?usp=sharing"",""ชัยภูมิ!L247"")"),0)</f>
        <v>0</v>
      </c>
      <c r="M352" s="167"/>
      <c r="N352" s="166">
        <f ca="1">IFERROR(__xludf.DUMMYFUNCTION("IMPORTRANGE(""https://docs.google.com/spreadsheets/d/1XL5vhW3sbDhbH9Cz0tuDiY8C3ctxq1tqvaCgkFb8cCA/edit?usp=sharing"",""ชัยภูมิ!M247"")"),0)</f>
        <v>0</v>
      </c>
      <c r="O352" s="167">
        <f t="shared" ca="1" si="105"/>
        <v>0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IFERROR(__xludf.DUMMYFUNCTION("IMPORTRANGE(""https://docs.google.com/spreadsheets/d/1XL5vhW3sbDhbH9Cz0tuDiY8C3ctxq1tqvaCgkFb8cCA/edit?usp=sharing"",""ชัยภูมิ!L248"")"),0)</f>
        <v>0</v>
      </c>
      <c r="M353" s="170"/>
      <c r="N353" s="170">
        <f ca="1">IFERROR(__xludf.DUMMYFUNCTION("IMPORTRANGE(""https://docs.google.com/spreadsheets/d/1XL5vhW3sbDhbH9Cz0tuDiY8C3ctxq1tqvaCgkFb8cCA/edit?usp=sharing"",""ชัยภูมิ!M248"")"),0)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IFERROR(__xludf.DUMMYFUNCTION("IMPORTRANGE(""https://docs.google.com/spreadsheets/d/1XL5vhW3sbDhbH9Cz0tuDiY8C3ctxq1tqvaCgkFb8cCA/edit?usp=sharing"",""ชัยภูมิ!L249"")"),0)</f>
        <v>0</v>
      </c>
      <c r="M354" s="170"/>
      <c r="N354" s="169">
        <f ca="1">IFERROR(__xludf.DUMMYFUNCTION("IMPORTRANGE(""https://docs.google.com/spreadsheets/d/1XL5vhW3sbDhbH9Cz0tuDiY8C3ctxq1tqvaCgkFb8cCA/edit?usp=sharing"",""ชัยภูมิ!M249"")"),0)</f>
        <v>0</v>
      </c>
      <c r="O354" s="170">
        <f t="shared" ca="1" si="105"/>
        <v>0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IFERROR(__xludf.DUMMYFUNCTION("IMPORTRANGE(""https://docs.google.com/spreadsheets/d/1XL5vhW3sbDhbH9Cz0tuDiY8C3ctxq1tqvaCgkFb8cCA/edit?usp=sharing"",""ชัยภูมิ!J255"")"),0)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IFERROR(__xludf.DUMMYFUNCTION("IMPORTRANGE(""https://docs.google.com/spreadsheets/d/1XL5vhW3sbDhbH9Cz0tuDiY8C3ctxq1tqvaCgkFb8cCA/edit?usp=sharing"",""ชัยภูมิ!J256"")"),0)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IFERROR(__xludf.DUMMYFUNCTION("IMPORTRANGE(""https://docs.google.com/spreadsheets/d/1XL5vhW3sbDhbH9Cz0tuDiY8C3ctxq1tqvaCgkFb8cCA/edit?usp=sharing"",""ชัยภูมิ!J257"")"),0)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IFERROR(__xludf.DUMMYFUNCTION("IMPORTRANGE(""https://docs.google.com/spreadsheets/d/1XL5vhW3sbDhbH9Cz0tuDiY8C3ctxq1tqvaCgkFb8cCA/edit?usp=sharing"",""ชัยภูมิ!J258"")"),0)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IFERROR(__xludf.DUMMYFUNCTION("IMPORTRANGE(""https://docs.google.com/spreadsheets/d/1XL5vhW3sbDhbH9Cz0tuDiY8C3ctxq1tqvaCgkFb8cCA/edit?usp=sharing"",""ชัยภูมิ!J166"")"),0)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IFERROR(__xludf.DUMMYFUNCTION("IMPORTRANGE(""https://docs.google.com/spreadsheets/d/1XL5vhW3sbDhbH9Cz0tuDiY8C3ctxq1tqvaCgkFb8cCA/edit?usp=sharing"",""ชัยภูมิ!J166"")"),0)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IFERROR(__xludf.DUMMYFUNCTION("IMPORTRANGE(""https://docs.google.com/spreadsheets/d/1XL5vhW3sbDhbH9Cz0tuDiY8C3ctxq1tqvaCgkFb8cCA/edit?usp=sharing"",""ชัยภูมิ!J166"")"),0)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IFERROR(__xludf.DUMMYFUNCTION("IMPORTRANGE(""https://docs.google.com/spreadsheets/d/1XL5vhW3sbDhbH9Cz0tuDiY8C3ctxq1tqvaCgkFb8cCA/edit?usp=sharing"",""ชัยภูมิ!J166"")"),0)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IFERROR(__xludf.DUMMYFUNCTION("IMPORTRANGE(""https://docs.google.com/spreadsheets/d/1XL5vhW3sbDhbH9Cz0tuDiY8C3ctxq1tqvaCgkFb8cCA/edit?usp=sharing"",""ชัยภูมิ!I263"")"),0)</f>
        <v>0</v>
      </c>
      <c r="J368" s="189">
        <f ca="1">IFERROR(__xludf.DUMMYFUNCTION("IMPORTRANGE(""https://docs.google.com/spreadsheets/d/1XL5vhW3sbDhbH9Cz0tuDiY8C3ctxq1tqvaCgkFb8cCA/edit?usp=sharing"",""ชัยภูมิ!J263"")"),0)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IFERROR(__xludf.DUMMYFUNCTION("IMPORTRANGE(""https://docs.google.com/spreadsheets/d/1XL5vhW3sbDhbH9Cz0tuDiY8C3ctxq1tqvaCgkFb8cCA/edit?usp=sharing"",""ชัยภูมิ!I164"")"),0)</f>
        <v>0</v>
      </c>
      <c r="J369" s="205">
        <f ca="1">IFERROR(__xludf.DUMMYFUNCTION("IMPORTRANGE(""https://docs.google.com/spreadsheets/d/1XL5vhW3sbDhbH9Cz0tuDiY8C3ctxq1tqvaCgkFb8cCA/edit?usp=sharing"",""ชัยภูมิ!J164"")"),0)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IFERROR(__xludf.DUMMYFUNCTION("IMPORTRANGE(""https://docs.google.com/spreadsheets/d/1XL5vhW3sbDhbH9Cz0tuDiY8C3ctxq1tqvaCgkFb8cCA/edit?usp=sharing"",""ชัยภูมิ!I265"")"),0)</f>
        <v>0</v>
      </c>
      <c r="J370" s="205">
        <f ca="1">IFERROR(__xludf.DUMMYFUNCTION("IMPORTRANGE(""https://docs.google.com/spreadsheets/d/1XL5vhW3sbDhbH9Cz0tuDiY8C3ctxq1tqvaCgkFb8cCA/edit?usp=sharing"",""ชัยภูมิ!J265"")"),0)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IFERROR(__xludf.DUMMYFUNCTION("IMPORTRANGE(""https://docs.google.com/spreadsheets/d/1XL5vhW3sbDhbH9Cz0tuDiY8C3ctxq1tqvaCgkFb8cCA/edit?usp=sharing"",""ชัยภูมิ!I164"")"),0)</f>
        <v>0</v>
      </c>
      <c r="J371" s="190">
        <f ca="1">IFERROR(__xludf.DUMMYFUNCTION("IMPORTRANGE(""https://docs.google.com/spreadsheets/d/1XL5vhW3sbDhbH9Cz0tuDiY8C3ctxq1tqvaCgkFb8cCA/edit?usp=sharing"",""ชัยภูมิ!J164"")"),0)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IFERROR(__xludf.DUMMYFUNCTION("IMPORTRANGE(""https://docs.google.com/spreadsheets/d/1XL5vhW3sbDhbH9Cz0tuDiY8C3ctxq1tqvaCgkFb8cCA/edit?usp=sharing"",""ชัยภูมิ!I267"")"),0)</f>
        <v>0</v>
      </c>
      <c r="J372" s="190">
        <f ca="1">IFERROR(__xludf.DUMMYFUNCTION("IMPORTRANGE(""https://docs.google.com/spreadsheets/d/1XL5vhW3sbDhbH9Cz0tuDiY8C3ctxq1tqvaCgkFb8cCA/edit?usp=sharing"",""ชัยภูมิ!J267"")"),0)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IFERROR(__xludf.DUMMYFUNCTION("IMPORTRANGE(""https://docs.google.com/spreadsheets/d/1XL5vhW3sbDhbH9Cz0tuDiY8C3ctxq1tqvaCgkFb8cCA/edit?usp=sharing"",""ชัยภูมิ!I164"")"),0)</f>
        <v>0</v>
      </c>
      <c r="J373" s="205">
        <f ca="1">IFERROR(__xludf.DUMMYFUNCTION("IMPORTRANGE(""https://docs.google.com/spreadsheets/d/1XL5vhW3sbDhbH9Cz0tuDiY8C3ctxq1tqvaCgkFb8cCA/edit?usp=sharing"",""ชัยภูมิ!J164"")"),0)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IFERROR(__xludf.DUMMYFUNCTION("IMPORTRANGE(""https://docs.google.com/spreadsheets/d/1XL5vhW3sbDhbH9Cz0tuDiY8C3ctxq1tqvaCgkFb8cCA/edit?usp=sharing"",""ชัยภูมิ!I164"")"),0)</f>
        <v>0</v>
      </c>
      <c r="J374" s="189">
        <f ca="1">IFERROR(__xludf.DUMMYFUNCTION("IMPORTRANGE(""https://docs.google.com/spreadsheets/d/1XL5vhW3sbDhbH9Cz0tuDiY8C3ctxq1tqvaCgkFb8cCA/edit?usp=sharing"",""ชัยภูมิ!J164"")"),0)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IFERROR(__xludf.DUMMYFUNCTION("IMPORTRANGE(""https://docs.google.com/spreadsheets/d/1XL5vhW3sbDhbH9Cz0tuDiY8C3ctxq1tqvaCgkFb8cCA/edit?usp=sharing"",""ชัยภูมิ!I270"")"),0)</f>
        <v>0</v>
      </c>
      <c r="J375" s="189">
        <f ca="1">IFERROR(__xludf.DUMMYFUNCTION("IMPORTRANGE(""https://docs.google.com/spreadsheets/d/1XL5vhW3sbDhbH9Cz0tuDiY8C3ctxq1tqvaCgkFb8cCA/edit?usp=sharing"",""ชัยภูมิ!J270"")"),0)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IFERROR(__xludf.DUMMYFUNCTION("IMPORTRANGE(""https://docs.google.com/spreadsheets/d/1XL5vhW3sbDhbH9Cz0tuDiY8C3ctxq1tqvaCgkFb8cCA/edit?usp=sharing"",""ชัยภูมิ!I271"")"),0)</f>
        <v>0</v>
      </c>
      <c r="J376" s="190">
        <f ca="1">IFERROR(__xludf.DUMMYFUNCTION("IMPORTRANGE(""https://docs.google.com/spreadsheets/d/1XL5vhW3sbDhbH9Cz0tuDiY8C3ctxq1tqvaCgkFb8cCA/edit?usp=sharing"",""ชัยภูมิ!J271"")"),0)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IFERROR(__xludf.DUMMYFUNCTION("IMPORTRANGE(""https://docs.google.com/spreadsheets/d/1XL5vhW3sbDhbH9Cz0tuDiY8C3ctxq1tqvaCgkFb8cCA/edit?usp=sharing"",""ชัยภูมิ!I272"")"),0)</f>
        <v>0</v>
      </c>
      <c r="J377" s="205">
        <f ca="1">IFERROR(__xludf.DUMMYFUNCTION("IMPORTRANGE(""https://docs.google.com/spreadsheets/d/1XL5vhW3sbDhbH9Cz0tuDiY8C3ctxq1tqvaCgkFb8cCA/edit?usp=sharing"",""ชัยภูมิ!J272"")"),0)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IFERROR(__xludf.DUMMYFUNCTION("IMPORTRANGE(""https://docs.google.com/spreadsheets/d/1XL5vhW3sbDhbH9Cz0tuDiY8C3ctxq1tqvaCgkFb8cCA/edit?usp=sharing"",""ชัยภูมิ!J273"")"),0)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IFERROR(__xludf.DUMMYFUNCTION("IMPORTRANGE(""https://docs.google.com/spreadsheets/d/1XL5vhW3sbDhbH9Cz0tuDiY8C3ctxq1tqvaCgkFb8cCA/edit?usp=sharing"",""ชัยภูมิ!M275"")"),44779)</f>
        <v>44779</v>
      </c>
      <c r="O380" s="373">
        <f ca="1">+IF(L380&gt;0,N380*100/L380,0)</f>
        <v>4.3537315754676627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IFERROR(__xludf.DUMMYFUNCTION("IMPORTRANGE(""https://docs.google.com/spreadsheets/d/1XL5vhW3sbDhbH9Cz0tuDiY8C3ctxq1tqvaCgkFb8cCA/edit?usp=sharing"",""ชัยภูมิ!L277"")"),0)</f>
        <v>0</v>
      </c>
      <c r="M382" s="166"/>
      <c r="N382" s="166">
        <f ca="1">IFERROR(__xludf.DUMMYFUNCTION("IMPORTRANGE(""https://docs.google.com/spreadsheets/d/1XL5vhW3sbDhbH9Cz0tuDiY8C3ctxq1tqvaCgkFb8cCA/edit?usp=sharing"",""ชัยภูมิ!M277"")"),0)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IFERROR(__xludf.DUMMYFUNCTION("IMPORTRANGE(""https://docs.google.com/spreadsheets/d/1XL5vhW3sbDhbH9Cz0tuDiY8C3ctxq1tqvaCgkFb8cCA/edit?usp=sharing"",""ชัยภูมิ!L278"")"),1028520)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IFERROR(__xludf.DUMMYFUNCTION("IMPORTRANGE(""https://docs.google.com/spreadsheets/d/1XL5vhW3sbDhbH9Cz0tuDiY8C3ctxq1tqvaCgkFb8cCA/edit?usp=sharing"",""ชัยภูมิ!M278"")"),44779)</f>
        <v>44779</v>
      </c>
      <c r="O383" s="167">
        <f t="shared" ca="1" si="109"/>
        <v>4.3537315754676627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IFERROR(__xludf.DUMMYFUNCTION("IMPORTRANGE(""https://docs.google.com/spreadsheets/d/1XL5vhW3sbDhbH9Cz0tuDiY8C3ctxq1tqvaCgkFb8cCA/edit?usp=sharing"",""ชัยภูมิ!L279"")"),0)</f>
        <v>0</v>
      </c>
      <c r="M384" s="170"/>
      <c r="N384" s="170">
        <f ca="1">IFERROR(__xludf.DUMMYFUNCTION("IMPORTRANGE(""https://docs.google.com/spreadsheets/d/1XL5vhW3sbDhbH9Cz0tuDiY8C3ctxq1tqvaCgkFb8cCA/edit?usp=sharing"",""ชัยภูมิ!M279"")"),0)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IFERROR(__xludf.DUMMYFUNCTION("IMPORTRANGE(""https://docs.google.com/spreadsheets/d/1XL5vhW3sbDhbH9Cz0tuDiY8C3ctxq1tqvaCgkFb8cCA/edit?usp=sharing"",""ชัยภูมิ!L280"")"),1028520)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IFERROR(__xludf.DUMMYFUNCTION("IMPORTRANGE(""https://docs.google.com/spreadsheets/d/1XL5vhW3sbDhbH9Cz0tuDiY8C3ctxq1tqvaCgkFb8cCA/edit?usp=sharing"",""ชัยภูมิ!M280"")"),44779)</f>
        <v>44779</v>
      </c>
      <c r="O385" s="170">
        <f t="shared" ca="1" si="109"/>
        <v>4.3537315754676627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IFERROR(__xludf.DUMMYFUNCTION("IMPORTRANGE(""https://docs.google.com/spreadsheets/d/1XL5vhW3sbDhbH9Cz0tuDiY8C3ctxq1tqvaCgkFb8cCA/edit?usp=sharing"",""ชัยภูมิ!M281"")"),450)</f>
        <v>450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IFERROR(__xludf.DUMMYFUNCTION("IMPORTRANGE(""https://docs.google.com/spreadsheets/d/1XL5vhW3sbDhbH9Cz0tuDiY8C3ctxq1tqvaCgkFb8cCA/edit?usp=sharing"",""ชัยภูมิ!M283"")"),37529)</f>
        <v>37529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IFERROR(__xludf.DUMMYFUNCTION("IMPORTRANGE(""https://docs.google.com/spreadsheets/d/1XL5vhW3sbDhbH9Cz0tuDiY8C3ctxq1tqvaCgkFb8cCA/edit?usp=sharing"",""ชัยภูมิ!M284"")"),6800)</f>
        <v>6800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IFERROR(__xludf.DUMMYFUNCTION("IMPORTRANGE(""https://docs.google.com/spreadsheets/d/1XL5vhW3sbDhbH9Cz0tuDiY8C3ctxq1tqvaCgkFb8cCA/edit?usp=sharing"",""ชัยภูมิ!J286"")"),0)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IFERROR(__xludf.DUMMYFUNCTION("IMPORTRANGE(""https://docs.google.com/spreadsheets/d/1XL5vhW3sbDhbH9Cz0tuDiY8C3ctxq1tqvaCgkFb8cCA/edit?usp=sharing"",""ชัยภูมิ!J287"")"),1)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IFERROR(__xludf.DUMMYFUNCTION("IMPORTRANGE(""https://docs.google.com/spreadsheets/d/1XL5vhW3sbDhbH9Cz0tuDiY8C3ctxq1tqvaCgkFb8cCA/edit?usp=sharing"",""ชัยภูมิ!J288"")"),1)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IFERROR(__xludf.DUMMYFUNCTION("IMPORTRANGE(""https://docs.google.com/spreadsheets/d/1XL5vhW3sbDhbH9Cz0tuDiY8C3ctxq1tqvaCgkFb8cCA/edit?usp=sharing"",""ชัยภูมิ!J289"")"),1)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IFERROR(__xludf.DUMMYFUNCTION("IMPORTRANGE(""https://docs.google.com/spreadsheets/d/1XL5vhW3sbDhbH9Cz0tuDiY8C3ctxq1tqvaCgkFb8cCA/edit?usp=sharing"",""ชัยภูมิ!I291"")"),100)</f>
        <v>100</v>
      </c>
      <c r="J396" s="199">
        <f ca="1">IFERROR(__xludf.DUMMYFUNCTION("IMPORTRANGE(""https://docs.google.com/spreadsheets/d/1XL5vhW3sbDhbH9Cz0tuDiY8C3ctxq1tqvaCgkFb8cCA/edit?usp=sharing"",""ชัยภูมิ!J291"")"),0)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IFERROR(__xludf.DUMMYFUNCTION("IMPORTRANGE(""https://docs.google.com/spreadsheets/d/1XL5vhW3sbDhbH9Cz0tuDiY8C3ctxq1tqvaCgkFb8cCA/edit?usp=sharing"",""ชัยภูมิ!I292"")"),1000)</f>
        <v>1000</v>
      </c>
      <c r="J397" s="199">
        <f ca="1">IFERROR(__xludf.DUMMYFUNCTION("IMPORTRANGE(""https://docs.google.com/spreadsheets/d/1XL5vhW3sbDhbH9Cz0tuDiY8C3ctxq1tqvaCgkFb8cCA/edit?usp=sharing"",""ชัยภูมิ!J292"")"),0)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IFERROR(__xludf.DUMMYFUNCTION("IMPORTRANGE(""https://docs.google.com/spreadsheets/d/1XL5vhW3sbDhbH9Cz0tuDiY8C3ctxq1tqvaCgkFb8cCA/edit?usp=sharing"",""ชัยภูมิ!I293"")"),100)</f>
        <v>100</v>
      </c>
      <c r="J398" s="199">
        <f ca="1">IFERROR(__xludf.DUMMYFUNCTION("IMPORTRANGE(""https://docs.google.com/spreadsheets/d/1XL5vhW3sbDhbH9Cz0tuDiY8C3ctxq1tqvaCgkFb8cCA/edit?usp=sharing"",""ชัยภูมิ!J293"")"),0)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IFERROR(__xludf.DUMMYFUNCTION("IMPORTRANGE(""https://docs.google.com/spreadsheets/d/1XL5vhW3sbDhbH9Cz0tuDiY8C3ctxq1tqvaCgkFb8cCA/edit?usp=sharing"",""ชัยภูมิ!J294"")"),0)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IFERROR(__xludf.DUMMYFUNCTION("IMPORTRANGE(""https://docs.google.com/spreadsheets/d/1XL5vhW3sbDhbH9Cz0tuDiY8C3ctxq1tqvaCgkFb8cCA/edit?usp=sharing"",""ชัยภูมิ!M296"")"),56450)</f>
        <v>56450</v>
      </c>
      <c r="O401" s="373">
        <f ca="1">+IF(L401&gt;0,N401*100/L401,0)</f>
        <v>55.386577708006278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IFERROR(__xludf.DUMMYFUNCTION("IMPORTRANGE(""https://docs.google.com/spreadsheets/d/1XL5vhW3sbDhbH9Cz0tuDiY8C3ctxq1tqvaCgkFb8cCA/edit?usp=sharing"",""ชัยภูมิ!L298"")"),0)</f>
        <v>0</v>
      </c>
      <c r="M403" s="166"/>
      <c r="N403" s="170">
        <f ca="1">IFERROR(__xludf.DUMMYFUNCTION("IMPORTRANGE(""https://docs.google.com/spreadsheets/d/1XL5vhW3sbDhbH9Cz0tuDiY8C3ctxq1tqvaCgkFb8cCA/edit?usp=sharing"",""ชัยภูมิ!M298"")"),0)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IFERROR(__xludf.DUMMYFUNCTION("IMPORTRANGE(""https://docs.google.com/spreadsheets/d/1XL5vhW3sbDhbH9Cz0tuDiY8C3ctxq1tqvaCgkFb8cCA/edit?usp=sharing"",""ชัยภูมิ!L299"")"),101920)</f>
        <v>101920</v>
      </c>
      <c r="M404" s="167"/>
      <c r="N404" s="170">
        <f ca="1">IFERROR(__xludf.DUMMYFUNCTION("IMPORTRANGE(""https://docs.google.com/spreadsheets/d/1XL5vhW3sbDhbH9Cz0tuDiY8C3ctxq1tqvaCgkFb8cCA/edit?usp=sharing"",""ชัยภูมิ!M299"")"),56450)</f>
        <v>56450</v>
      </c>
      <c r="O404" s="170">
        <f t="shared" ca="1" si="112"/>
        <v>55.386577708006278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IFERROR(__xludf.DUMMYFUNCTION("IMPORTRANGE(""https://docs.google.com/spreadsheets/d/1XL5vhW3sbDhbH9Cz0tuDiY8C3ctxq1tqvaCgkFb8cCA/edit?usp=sharing"",""ชัยภูมิ!L300"")"),0)</f>
        <v>0</v>
      </c>
      <c r="M405" s="170"/>
      <c r="N405" s="170">
        <f ca="1">IFERROR(__xludf.DUMMYFUNCTION("IMPORTRANGE(""https://docs.google.com/spreadsheets/d/1XL5vhW3sbDhbH9Cz0tuDiY8C3ctxq1tqvaCgkFb8cCA/edit?usp=sharing"",""ชัยภูมิ!M300"")"),0)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IFERROR(__xludf.DUMMYFUNCTION("IMPORTRANGE(""https://docs.google.com/spreadsheets/d/1XL5vhW3sbDhbH9Cz0tuDiY8C3ctxq1tqvaCgkFb8cCA/edit?usp=sharing"",""ชัยภูมิ!L301"")"),101920)</f>
        <v>101920</v>
      </c>
      <c r="M406" s="170"/>
      <c r="N406" s="170">
        <f ca="1">IFERROR(__xludf.DUMMYFUNCTION("IMPORTRANGE(""https://docs.google.com/spreadsheets/d/1XL5vhW3sbDhbH9Cz0tuDiY8C3ctxq1tqvaCgkFb8cCA/edit?usp=sharing"",""ชัยภูมิ!M301"")"),56450)</f>
        <v>56450</v>
      </c>
      <c r="O406" s="170">
        <f t="shared" ca="1" si="112"/>
        <v>55.386577708006278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IFERROR(__xludf.DUMMYFUNCTION("IMPORTRANGE(""https://docs.google.com/spreadsheets/d/1XL5vhW3sbDhbH9Cz0tuDiY8C3ctxq1tqvaCgkFb8cCA/edit?usp=sharing"",""ชัยภูมิ!M302"")"),6390)</f>
        <v>6390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IFERROR(__xludf.DUMMYFUNCTION("IMPORTRANGE(""https://docs.google.com/spreadsheets/d/1XL5vhW3sbDhbH9Cz0tuDiY8C3ctxq1tqvaCgkFb8cCA/edit?usp=sharing"",""ชัยภูมิ!M305"")"),50060)</f>
        <v>50060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IFERROR(__xludf.DUMMYFUNCTION("IMPORTRANGE(""https://docs.google.com/spreadsheets/d/1XL5vhW3sbDhbH9Cz0tuDiY8C3ctxq1tqvaCgkFb8cCA/edit?usp=sharing"",""ชัยภูมิ!J307"")"),0)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IFERROR(__xludf.DUMMYFUNCTION("IMPORTRANGE(""https://docs.google.com/spreadsheets/d/1XL5vhW3sbDhbH9Cz0tuDiY8C3ctxq1tqvaCgkFb8cCA/edit?usp=sharing"",""ชัยภูมิ!J308"")"),1)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IFERROR(__xludf.DUMMYFUNCTION("IMPORTRANGE(""https://docs.google.com/spreadsheets/d/1XL5vhW3sbDhbH9Cz0tuDiY8C3ctxq1tqvaCgkFb8cCA/edit?usp=sharing"",""ชัยภูมิ!J309"")"),1)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IFERROR(__xludf.DUMMYFUNCTION("IMPORTRANGE(""https://docs.google.com/spreadsheets/d/1XL5vhW3sbDhbH9Cz0tuDiY8C3ctxq1tqvaCgkFb8cCA/edit?usp=sharing"",""ชัยภูมิ!J310"")"),1)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IFERROR(__xludf.DUMMYFUNCTION("IMPORTRANGE(""https://docs.google.com/spreadsheets/d/1XL5vhW3sbDhbH9Cz0tuDiY8C3ctxq1tqvaCgkFb8cCA/edit?usp=sharing"",""ชัยภูมิ!I311"")"),30)</f>
        <v>30</v>
      </c>
      <c r="J416" s="202">
        <f ca="1">IFERROR(__xludf.DUMMYFUNCTION("IMPORTRANGE(""https://docs.google.com/spreadsheets/d/1XL5vhW3sbDhbH9Cz0tuDiY8C3ctxq1tqvaCgkFb8cCA/edit?usp=sharing"",""ชัยภูมิ!J311"")"),0)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IFERROR(__xludf.DUMMYFUNCTION("IMPORTRANGE(""https://docs.google.com/spreadsheets/d/1XL5vhW3sbDhbH9Cz0tuDiY8C3ctxq1tqvaCgkFb8cCA/edit?usp=sharing"",""ชัยภูมิ!J328"")"),0)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IFERROR(__xludf.DUMMYFUNCTION("IMPORTRANGE(""https://docs.google.com/spreadsheets/d/1XL5vhW3sbDhbH9Cz0tuDiY8C3ctxq1tqvaCgkFb8cCA/edit?usp=sharing"",""ชัยภูมิ!M330"")"),71957)</f>
        <v>71957</v>
      </c>
      <c r="O435" s="412">
        <f t="shared" ref="O435:O439" ca="1" si="114">+IF(L435&gt;0,N435*100/L435,0)</f>
        <v>67.883962264150938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IFERROR(__xludf.DUMMYFUNCTION("IMPORTRANGE(""https://docs.google.com/spreadsheets/d/1XL5vhW3sbDhbH9Cz0tuDiY8C3ctxq1tqvaCgkFb8cCA/edit?usp=sharing"",""ชัยภูมิ!L331"")"),0)</f>
        <v>0</v>
      </c>
      <c r="M436" s="166"/>
      <c r="N436" s="170">
        <f ca="1">IFERROR(__xludf.DUMMYFUNCTION("IMPORTRANGE(""https://docs.google.com/spreadsheets/d/1XL5vhW3sbDhbH9Cz0tuDiY8C3ctxq1tqvaCgkFb8cCA/edit?usp=sharing"",""ชัยภูมิ!M331"")"),0)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IFERROR(__xludf.DUMMYFUNCTION("IMPORTRANGE(""https://docs.google.com/spreadsheets/d/1XL5vhW3sbDhbH9Cz0tuDiY8C3ctxq1tqvaCgkFb8cCA/edit?usp=sharing"",""ชัยภูมิ!L332"")"),106000)</f>
        <v>106000</v>
      </c>
      <c r="M437" s="167"/>
      <c r="N437" s="170">
        <f ca="1">IFERROR(__xludf.DUMMYFUNCTION("IMPORTRANGE(""https://docs.google.com/spreadsheets/d/1XL5vhW3sbDhbH9Cz0tuDiY8C3ctxq1tqvaCgkFb8cCA/edit?usp=sharing"",""ชัยภูมิ!M332"")"),71957)</f>
        <v>71957</v>
      </c>
      <c r="O437" s="170">
        <f t="shared" ca="1" si="114"/>
        <v>67.883962264150938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IFERROR(__xludf.DUMMYFUNCTION("IMPORTRANGE(""https://docs.google.com/spreadsheets/d/1XL5vhW3sbDhbH9Cz0tuDiY8C3ctxq1tqvaCgkFb8cCA/edit?usp=sharing"",""ชัยภูมิ!L333"")"),0)</f>
        <v>0</v>
      </c>
      <c r="M438" s="170"/>
      <c r="N438" s="170">
        <f ca="1">IFERROR(__xludf.DUMMYFUNCTION("IMPORTRANGE(""https://docs.google.com/spreadsheets/d/1XL5vhW3sbDhbH9Cz0tuDiY8C3ctxq1tqvaCgkFb8cCA/edit?usp=sharing"",""ชัยภูมิ!M333"")"),0)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IFERROR(__xludf.DUMMYFUNCTION("IMPORTRANGE(""https://docs.google.com/spreadsheets/d/1XL5vhW3sbDhbH9Cz0tuDiY8C3ctxq1tqvaCgkFb8cCA/edit?usp=sharing"",""ชัยภูมิ!L334"")"),106000)</f>
        <v>106000</v>
      </c>
      <c r="M439" s="170"/>
      <c r="N439" s="170">
        <f ca="1">IFERROR(__xludf.DUMMYFUNCTION("IMPORTRANGE(""https://docs.google.com/spreadsheets/d/1XL5vhW3sbDhbH9Cz0tuDiY8C3ctxq1tqvaCgkFb8cCA/edit?usp=sharing"",""ชัยภูมิ!M334"")"),71957)</f>
        <v>71957</v>
      </c>
      <c r="O439" s="170">
        <f t="shared" ca="1" si="114"/>
        <v>67.883962264150938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IFERROR(__xludf.DUMMYFUNCTION("IMPORTRANGE(""https://docs.google.com/spreadsheets/d/1XL5vhW3sbDhbH9Cz0tuDiY8C3ctxq1tqvaCgkFb8cCA/edit?usp=sharing"",""ชัยภูมิ!M338"")"),66957)</f>
        <v>66957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IFERROR(__xludf.DUMMYFUNCTION("IMPORTRANGE(""https://docs.google.com/spreadsheets/d/1XL5vhW3sbDhbH9Cz0tuDiY8C3ctxq1tqvaCgkFb8cCA/edit?usp=sharing"",""ชัยภูมิ!J342"")"),1)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IFERROR(__xludf.DUMMYFUNCTION("IMPORTRANGE(""https://docs.google.com/spreadsheets/d/1XL5vhW3sbDhbH9Cz0tuDiY8C3ctxq1tqvaCgkFb8cCA/edit?usp=sharing"",""ชัยภูมิ!J343"")"),1)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2">
        <f ca="1">IFERROR(__xludf.DUMMYFUNCTION("IMPORTRANGE(""https://docs.google.com/spreadsheets/d/1XL5vhW3sbDhbH9Cz0tuDiY8C3ctxq1tqvaCgkFb8cCA/edit?usp=sharing"",""ชัยภูมิ!J344"")"),15)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IFERROR(__xludf.DUMMYFUNCTION("IMPORTRANGE(""https://docs.google.com/spreadsheets/d/1XL5vhW3sbDhbH9Cz0tuDiY8C3ctxq1tqvaCgkFb8cCA/edit?usp=sharing"",""ชัยภูมิ!I345"")"),15)</f>
        <v>15</v>
      </c>
      <c r="J450" s="190">
        <f ca="1">IFERROR(__xludf.DUMMYFUNCTION("IMPORTRANGE(""https://docs.google.com/spreadsheets/d/1XL5vhW3sbDhbH9Cz0tuDiY8C3ctxq1tqvaCgkFb8cCA/edit?usp=sharing"",""ชัยภูมิ!J345"")"),15)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IFERROR(__xludf.DUMMYFUNCTION("IMPORTRANGE(""https://docs.google.com/spreadsheets/d/1XL5vhW3sbDhbH9Cz0tuDiY8C3ctxq1tqvaCgkFb8cCA/edit?usp=sharing"",""ชัยภูมิ!I346"")"),0)</f>
        <v>0</v>
      </c>
      <c r="J451" s="189">
        <f ca="1">IFERROR(__xludf.DUMMYFUNCTION("IMPORTRANGE(""https://docs.google.com/spreadsheets/d/1XL5vhW3sbDhbH9Cz0tuDiY8C3ctxq1tqvaCgkFb8cCA/edit?usp=sharing"",""ชัยภูมิ!J346"")"),0)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IFERROR(__xludf.DUMMYFUNCTION("IMPORTRANGE(""https://docs.google.com/spreadsheets/d/1XL5vhW3sbDhbH9Cz0tuDiY8C3ctxq1tqvaCgkFb8cCA/edit?usp=sharing"",""ชัยภูมิ!I347"")"),0)</f>
        <v>0</v>
      </c>
      <c r="J452" s="189">
        <f ca="1">IFERROR(__xludf.DUMMYFUNCTION("IMPORTRANGE(""https://docs.google.com/spreadsheets/d/1XL5vhW3sbDhbH9Cz0tuDiY8C3ctxq1tqvaCgkFb8cCA/edit?usp=sharing"",""ชัยภูมิ!J347"")"),0)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IFERROR(__xludf.DUMMYFUNCTION("IMPORTRANGE(""https://docs.google.com/spreadsheets/d/1XL5vhW3sbDhbH9Cz0tuDiY8C3ctxq1tqvaCgkFb8cCA/edit?usp=sharing"",""ชัยภูมิ!J348"")"),0)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IFERROR(__xludf.DUMMYFUNCTION("IMPORTRANGE(""https://docs.google.com/spreadsheets/d/1XL5vhW3sbDhbH9Cz0tuDiY8C3ctxq1tqvaCgkFb8cCA/edit?usp=sharing"",""ชัยภูมิ!J349"")"),0)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IFERROR(__xludf.DUMMYFUNCTION("IMPORTRANGE(""https://docs.google.com/spreadsheets/d/1XL5vhW3sbDhbH9Cz0tuDiY8C3ctxq1tqvaCgkFb8cCA/edit?usp=sharing"",""ชัยภูมิ!L350"")"),613203)</f>
        <v>613203</v>
      </c>
      <c r="M455" s="373"/>
      <c r="N455" s="373">
        <f ca="1">IFERROR(__xludf.DUMMYFUNCTION("IMPORTRANGE(""https://docs.google.com/spreadsheets/d/1XL5vhW3sbDhbH9Cz0tuDiY8C3ctxq1tqvaCgkFb8cCA/edit?usp=sharing"",""ชัยภูมิ!M350"")"),61565)</f>
        <v>61565</v>
      </c>
      <c r="O455" s="373">
        <f t="shared" ref="O455:O459" ca="1" si="116">+IF(L455&gt;0,N455*100/L455,0)</f>
        <v>10.039905218989469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IFERROR(__xludf.DUMMYFUNCTION("IMPORTRANGE(""https://docs.google.com/spreadsheets/d/1XL5vhW3sbDhbH9Cz0tuDiY8C3ctxq1tqvaCgkFb8cCA/edit?usp=sharing"",""ชัยภูมิ!L351"")"),0)</f>
        <v>0</v>
      </c>
      <c r="M456" s="166"/>
      <c r="N456" s="170">
        <f ca="1">IFERROR(__xludf.DUMMYFUNCTION("IMPORTRANGE(""https://docs.google.com/spreadsheets/d/1XL5vhW3sbDhbH9Cz0tuDiY8C3ctxq1tqvaCgkFb8cCA/edit?usp=sharing"",""ชัยภูมิ!M351"")"),0)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IFERROR(__xludf.DUMMYFUNCTION("IMPORTRANGE(""https://docs.google.com/spreadsheets/d/1XL5vhW3sbDhbH9Cz0tuDiY8C3ctxq1tqvaCgkFb8cCA/edit?usp=sharing"",""ชัยภูมิ!L352"")"),613203)</f>
        <v>613203</v>
      </c>
      <c r="M457" s="167"/>
      <c r="N457" s="170">
        <f ca="1">IFERROR(__xludf.DUMMYFUNCTION("IMPORTRANGE(""https://docs.google.com/spreadsheets/d/1XL5vhW3sbDhbH9Cz0tuDiY8C3ctxq1tqvaCgkFb8cCA/edit?usp=sharing"",""ชัยภูมิ!M352"")"),61565)</f>
        <v>61565</v>
      </c>
      <c r="O457" s="170">
        <f t="shared" ca="1" si="116"/>
        <v>10.039905218989469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IFERROR(__xludf.DUMMYFUNCTION("IMPORTRANGE(""https://docs.google.com/spreadsheets/d/1XL5vhW3sbDhbH9Cz0tuDiY8C3ctxq1tqvaCgkFb8cCA/edit?usp=sharing"",""ชัยภูมิ!L353"")"),0)</f>
        <v>0</v>
      </c>
      <c r="M458" s="170"/>
      <c r="N458" s="170">
        <f ca="1">IFERROR(__xludf.DUMMYFUNCTION("IMPORTRANGE(""https://docs.google.com/spreadsheets/d/1XL5vhW3sbDhbH9Cz0tuDiY8C3ctxq1tqvaCgkFb8cCA/edit?usp=sharing"",""ชัยภูมิ!M353"")"),0)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IFERROR(__xludf.DUMMYFUNCTION("IMPORTRANGE(""https://docs.google.com/spreadsheets/d/1XL5vhW3sbDhbH9Cz0tuDiY8C3ctxq1tqvaCgkFb8cCA/edit?usp=sharing"",""ชัยภูมิ!L354"")"),613203)</f>
        <v>613203</v>
      </c>
      <c r="M459" s="170"/>
      <c r="N459" s="170">
        <f ca="1">IFERROR(__xludf.DUMMYFUNCTION("IMPORTRANGE(""https://docs.google.com/spreadsheets/d/1XL5vhW3sbDhbH9Cz0tuDiY8C3ctxq1tqvaCgkFb8cCA/edit?usp=sharing"",""ชัยภูมิ!M354"")"),61565)</f>
        <v>61565</v>
      </c>
      <c r="O459" s="170">
        <f t="shared" ca="1" si="116"/>
        <v>10.039905218989469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IFERROR(__xludf.DUMMYFUNCTION("IMPORTRANGE(""https://docs.google.com/spreadsheets/d/1XL5vhW3sbDhbH9Cz0tuDiY8C3ctxq1tqvaCgkFb8cCA/edit?usp=sharing"",""ชัยภูมิ!M355"")"),0)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IFERROR(__xludf.DUMMYFUNCTION("IMPORTRANGE(""https://docs.google.com/spreadsheets/d/1XL5vhW3sbDhbH9Cz0tuDiY8C3ctxq1tqvaCgkFb8cCA/edit?usp=sharing"",""ชัยภูมิ!M356"")"),0)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IFERROR(__xludf.DUMMYFUNCTION("IMPORTRANGE(""https://docs.google.com/spreadsheets/d/1XL5vhW3sbDhbH9Cz0tuDiY8C3ctxq1tqvaCgkFb8cCA/edit?usp=sharing"",""ชัยภูมิ!M358"")"),61565)</f>
        <v>61565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3">
        <f t="shared" ca="1" si="117"/>
        <v>100.00166339532254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IFERROR(__xludf.DUMMYFUNCTION("IMPORTRANGE(""https://docs.google.com/spreadsheets/d/1XL5vhW3sbDhbH9Cz0tuDiY8C3ctxq1tqvaCgkFb8cCA/edit?usp=sharing"",""ชัยภูมิ!I362"")"),0)</f>
        <v>0</v>
      </c>
      <c r="J467" s="190">
        <f ca="1">IFERROR(__xludf.DUMMYFUNCTION("IMPORTRANGE(""https://docs.google.com/spreadsheets/d/1XL5vhW3sbDhbH9Cz0tuDiY8C3ctxq1tqvaCgkFb8cCA/edit?usp=sharing"",""ชัยภูมิ!J362"")"),47784)</f>
        <v>47784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IFERROR(__xludf.DUMMYFUNCTION("IMPORTRANGE(""https://docs.google.com/spreadsheets/d/1XL5vhW3sbDhbH9Cz0tuDiY8C3ctxq1tqvaCgkFb8cCA/edit?usp=sharing"",""ชัยภูมิ!I363"")"),0)</f>
        <v>0</v>
      </c>
      <c r="J468" s="190">
        <f ca="1">IFERROR(__xludf.DUMMYFUNCTION("IMPORTRANGE(""https://docs.google.com/spreadsheets/d/1XL5vhW3sbDhbH9Cz0tuDiY8C3ctxq1tqvaCgkFb8cCA/edit?usp=sharing"",""ชัยภูมิ!J363"")"),5619)</f>
        <v>5619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IFERROR(__xludf.DUMMYFUNCTION("IMPORTRANGE(""https://docs.google.com/spreadsheets/d/1XL5vhW3sbDhbH9Cz0tuDiY8C3ctxq1tqvaCgkFb8cCA/edit?usp=sharing"",""ชัยภูมิ!I364"")"),0)</f>
        <v>0</v>
      </c>
      <c r="J469" s="190">
        <f ca="1">IFERROR(__xludf.DUMMYFUNCTION("IMPORTRANGE(""https://docs.google.com/spreadsheets/d/1XL5vhW3sbDhbH9Cz0tuDiY8C3ctxq1tqvaCgkFb8cCA/edit?usp=sharing"",""ชัยภูมิ!J364"")"),10583)</f>
        <v>10583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IFERROR(__xludf.DUMMYFUNCTION("IMPORTRANGE(""https://docs.google.com/spreadsheets/d/1XL5vhW3sbDhbH9Cz0tuDiY8C3ctxq1tqvaCgkFb8cCA/edit?usp=sharing"",""ชัยภูมิ!I365"")"),0)</f>
        <v>0</v>
      </c>
      <c r="J470" s="190">
        <f ca="1">IFERROR(__xludf.DUMMYFUNCTION("IMPORTRANGE(""https://docs.google.com/spreadsheets/d/1XL5vhW3sbDhbH9Cz0tuDiY8C3ctxq1tqvaCgkFb8cCA/edit?usp=sharing"",""ชัยภูมิ!J365"")"),880)</f>
        <v>880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IFERROR(__xludf.DUMMYFUNCTION("IMPORTRANGE(""https://docs.google.com/spreadsheets/d/1XL5vhW3sbDhbH9Cz0tuDiY8C3ctxq1tqvaCgkFb8cCA/edit?usp=sharing"",""ชัยภูมิ!I366"")"),0)</f>
        <v>0</v>
      </c>
      <c r="J471" s="190">
        <f ca="1">IFERROR(__xludf.DUMMYFUNCTION("IMPORTRANGE(""https://docs.google.com/spreadsheets/d/1XL5vhW3sbDhbH9Cz0tuDiY8C3ctxq1tqvaCgkFb8cCA/edit?usp=sharing"",""ชัยภูมิ!J366"")"),1752)</f>
        <v>1752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IFERROR(__xludf.DUMMYFUNCTION("IMPORTRANGE(""https://docs.google.com/spreadsheets/d/1XL5vhW3sbDhbH9Cz0tuDiY8C3ctxq1tqvaCgkFb8cCA/edit?usp=sharing"",""ชัยภูมิ!I367"")"),0)</f>
        <v>0</v>
      </c>
      <c r="J472" s="190">
        <f ca="1">IFERROR(__xludf.DUMMYFUNCTION("IMPORTRANGE(""https://docs.google.com/spreadsheets/d/1XL5vhW3sbDhbH9Cz0tuDiY8C3ctxq1tqvaCgkFb8cCA/edit?usp=sharing"",""ชัยภูมิ!J367"")"),179)</f>
        <v>179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IFERROR(__xludf.DUMMYFUNCTION("IMPORTRANGE(""https://docs.google.com/spreadsheets/d/1XL5vhW3sbDhbH9Cz0tuDiY8C3ctxq1tqvaCgkFb8cCA/edit?usp=sharing"",""ชัยภูมิ!I370"")"),0)</f>
        <v>0</v>
      </c>
      <c r="J475" s="190">
        <f ca="1">IFERROR(__xludf.DUMMYFUNCTION("IMPORTRANGE(""https://docs.google.com/spreadsheets/d/1XL5vhW3sbDhbH9Cz0tuDiY8C3ctxq1tqvaCgkFb8cCA/edit?usp=sharing"",""ชัยภูมิ!J370"")"),0)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IFERROR(__xludf.DUMMYFUNCTION("IMPORTRANGE(""https://docs.google.com/spreadsheets/d/1XL5vhW3sbDhbH9Cz0tuDiY8C3ctxq1tqvaCgkFb8cCA/edit?usp=sharing"",""ชัยภูมิ!I371"")"),0)</f>
        <v>0</v>
      </c>
      <c r="J476" s="190">
        <f ca="1">IFERROR(__xludf.DUMMYFUNCTION("IMPORTRANGE(""https://docs.google.com/spreadsheets/d/1XL5vhW3sbDhbH9Cz0tuDiY8C3ctxq1tqvaCgkFb8cCA/edit?usp=sharing"",""ชัยภูมิ!J371"")"),0)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IFERROR(__xludf.DUMMYFUNCTION("IMPORTRANGE(""https://docs.google.com/spreadsheets/d/1XL5vhW3sbDhbH9Cz0tuDiY8C3ctxq1tqvaCgkFb8cCA/edit?usp=sharing"",""ชัยภูมิ!I372"")"),0)</f>
        <v>0</v>
      </c>
      <c r="J477" s="190">
        <f ca="1">IFERROR(__xludf.DUMMYFUNCTION("IMPORTRANGE(""https://docs.google.com/spreadsheets/d/1XL5vhW3sbDhbH9Cz0tuDiY8C3ctxq1tqvaCgkFb8cCA/edit?usp=sharing"",""ชัยภูมิ!J372"")"),0)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IFERROR(__xludf.DUMMYFUNCTION("IMPORTRANGE(""https://docs.google.com/spreadsheets/d/1XL5vhW3sbDhbH9Cz0tuDiY8C3ctxq1tqvaCgkFb8cCA/edit?usp=sharing"",""ชัยภูมิ!I373"")"),0)</f>
        <v>0</v>
      </c>
      <c r="J478" s="190">
        <f ca="1">IFERROR(__xludf.DUMMYFUNCTION("IMPORTRANGE(""https://docs.google.com/spreadsheets/d/1XL5vhW3sbDhbH9Cz0tuDiY8C3ctxq1tqvaCgkFb8cCA/edit?usp=sharing"",""ชัยภูมิ!J373"")"),0)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IFERROR(__xludf.DUMMYFUNCTION("IMPORTRANGE(""https://docs.google.com/spreadsheets/d/1XL5vhW3sbDhbH9Cz0tuDiY8C3ctxq1tqvaCgkFb8cCA/edit?usp=sharing"",""ชัยภูมิ!I374"")"),0)</f>
        <v>0</v>
      </c>
      <c r="J479" s="190">
        <f ca="1">IFERROR(__xludf.DUMMYFUNCTION("IMPORTRANGE(""https://docs.google.com/spreadsheets/d/1XL5vhW3sbDhbH9Cz0tuDiY8C3ctxq1tqvaCgkFb8cCA/edit?usp=sharing"",""ชัยภูมิ!J374"")"),0)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IFERROR(__xludf.DUMMYFUNCTION("IMPORTRANGE(""https://docs.google.com/spreadsheets/d/1XL5vhW3sbDhbH9Cz0tuDiY8C3ctxq1tqvaCgkFb8cCA/edit?usp=sharing"",""ชัยภูมิ!I375"")"),0)</f>
        <v>0</v>
      </c>
      <c r="J480" s="190">
        <f ca="1">IFERROR(__xludf.DUMMYFUNCTION("IMPORTRANGE(""https://docs.google.com/spreadsheets/d/1XL5vhW3sbDhbH9Cz0tuDiY8C3ctxq1tqvaCgkFb8cCA/edit?usp=sharing"",""ชัยภูมิ!J375"")"),0)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IFERROR(__xludf.DUMMYFUNCTION("IMPORTRANGE(""https://docs.google.com/spreadsheets/d/1XL5vhW3sbDhbH9Cz0tuDiY8C3ctxq1tqvaCgkFb8cCA/edit?usp=sharing"",""ชัยภูมิ!I378"")"),0)</f>
        <v>0</v>
      </c>
      <c r="J483" s="190">
        <f ca="1">IFERROR(__xludf.DUMMYFUNCTION("IMPORTRANGE(""https://docs.google.com/spreadsheets/d/1XL5vhW3sbDhbH9Cz0tuDiY8C3ctxq1tqvaCgkFb8cCA/edit?usp=sharing"",""ชัยภูมิ!J378"")"),0)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IFERROR(__xludf.DUMMYFUNCTION("IMPORTRANGE(""https://docs.google.com/spreadsheets/d/1XL5vhW3sbDhbH9Cz0tuDiY8C3ctxq1tqvaCgkFb8cCA/edit?usp=sharing"",""ชัยภูมิ!I379"")"),0)</f>
        <v>0</v>
      </c>
      <c r="J484" s="190">
        <f ca="1">IFERROR(__xludf.DUMMYFUNCTION("IMPORTRANGE(""https://docs.google.com/spreadsheets/d/1XL5vhW3sbDhbH9Cz0tuDiY8C3ctxq1tqvaCgkFb8cCA/edit?usp=sharing"",""ชัยภูมิ!J379"")"),0)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IFERROR(__xludf.DUMMYFUNCTION("IMPORTRANGE(""https://docs.google.com/spreadsheets/d/1XL5vhW3sbDhbH9Cz0tuDiY8C3ctxq1tqvaCgkFb8cCA/edit?usp=sharing"",""ชัยภูมิ!I380"")"),0)</f>
        <v>0</v>
      </c>
      <c r="J485" s="190">
        <f ca="1">IFERROR(__xludf.DUMMYFUNCTION("IMPORTRANGE(""https://docs.google.com/spreadsheets/d/1XL5vhW3sbDhbH9Cz0tuDiY8C3ctxq1tqvaCgkFb8cCA/edit?usp=sharing"",""ชัยภูมิ!J380"")"),0)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IFERROR(__xludf.DUMMYFUNCTION("IMPORTRANGE(""https://docs.google.com/spreadsheets/d/1XL5vhW3sbDhbH9Cz0tuDiY8C3ctxq1tqvaCgkFb8cCA/edit?usp=sharing"",""ชัยภูมิ!I381"")"),0)</f>
        <v>0</v>
      </c>
      <c r="J486" s="190">
        <f ca="1">IFERROR(__xludf.DUMMYFUNCTION("IMPORTRANGE(""https://docs.google.com/spreadsheets/d/1XL5vhW3sbDhbH9Cz0tuDiY8C3ctxq1tqvaCgkFb8cCA/edit?usp=sharing"",""ชัยภูมิ!J381"")"),0)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IFERROR(__xludf.DUMMYFUNCTION("IMPORTRANGE(""https://docs.google.com/spreadsheets/d/1XL5vhW3sbDhbH9Cz0tuDiY8C3ctxq1tqvaCgkFb8cCA/edit?usp=sharing"",""ชัยภูมิ!I384"")"),0)</f>
        <v>0</v>
      </c>
      <c r="J489" s="190">
        <f ca="1">IFERROR(__xludf.DUMMYFUNCTION("IMPORTRANGE(""https://docs.google.com/spreadsheets/d/1XL5vhW3sbDhbH9Cz0tuDiY8C3ctxq1tqvaCgkFb8cCA/edit?usp=sharing"",""ชัยภูมิ!J384"")"),0)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IFERROR(__xludf.DUMMYFUNCTION("IMPORTRANGE(""https://docs.google.com/spreadsheets/d/1XL5vhW3sbDhbH9Cz0tuDiY8C3ctxq1tqvaCgkFb8cCA/edit?usp=sharing"",""ชัยภูมิ!I385"")"),0)</f>
        <v>0</v>
      </c>
      <c r="J490" s="190">
        <f ca="1">IFERROR(__xludf.DUMMYFUNCTION("IMPORTRANGE(""https://docs.google.com/spreadsheets/d/1XL5vhW3sbDhbH9Cz0tuDiY8C3ctxq1tqvaCgkFb8cCA/edit?usp=sharing"",""ชัยภูมิ!J385"")"),0)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IFERROR(__xludf.DUMMYFUNCTION("IMPORTRANGE(""https://docs.google.com/spreadsheets/d/1XL5vhW3sbDhbH9Cz0tuDiY8C3ctxq1tqvaCgkFb8cCA/edit?usp=sharing"",""ชัยภูมิ!I386"")"),0)</f>
        <v>0</v>
      </c>
      <c r="J491" s="190">
        <f ca="1">IFERROR(__xludf.DUMMYFUNCTION("IMPORTRANGE(""https://docs.google.com/spreadsheets/d/1XL5vhW3sbDhbH9Cz0tuDiY8C3ctxq1tqvaCgkFb8cCA/edit?usp=sharing"",""ชัยภูมิ!J386"")"),0)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IFERROR(__xludf.DUMMYFUNCTION("IMPORTRANGE(""https://docs.google.com/spreadsheets/d/1XL5vhW3sbDhbH9Cz0tuDiY8C3ctxq1tqvaCgkFb8cCA/edit?usp=sharing"",""ชัยภูมิ!I387"")"),0)</f>
        <v>0</v>
      </c>
      <c r="J492" s="190">
        <f ca="1">IFERROR(__xludf.DUMMYFUNCTION("IMPORTRANGE(""https://docs.google.com/spreadsheets/d/1XL5vhW3sbDhbH9Cz0tuDiY8C3ctxq1tqvaCgkFb8cCA/edit?usp=sharing"",""ชัยภูมิ!J387"")"),0)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IFERROR(__xludf.DUMMYFUNCTION("IMPORTRANGE(""https://docs.google.com/spreadsheets/d/1XL5vhW3sbDhbH9Cz0tuDiY8C3ctxq1tqvaCgkFb8cCA/edit?usp=sharing"",""ชัยภูมิ!I388"")"),0)</f>
        <v>0</v>
      </c>
      <c r="J493" s="190">
        <f ca="1">IFERROR(__xludf.DUMMYFUNCTION("IMPORTRANGE(""https://docs.google.com/spreadsheets/d/1XL5vhW3sbDhbH9Cz0tuDiY8C3ctxq1tqvaCgkFb8cCA/edit?usp=sharing"",""ชัยภูมิ!J388"")"),0)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IFERROR(__xludf.DUMMYFUNCTION("IMPORTRANGE(""https://docs.google.com/spreadsheets/d/1XL5vhW3sbDhbH9Cz0tuDiY8C3ctxq1tqvaCgkFb8cCA/edit?usp=sharing"",""ชัยภูมิ!I395"")"),0)</f>
        <v>0</v>
      </c>
      <c r="J500" s="164">
        <f ca="1">IFERROR(__xludf.DUMMYFUNCTION("IMPORTRANGE(""https://docs.google.com/spreadsheets/d/1XL5vhW3sbDhbH9Cz0tuDiY8C3ctxq1tqvaCgkFb8cCA/edit?usp=sharing"",""ชัยภูมิ!J395"")"),0)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IFERROR(__xludf.DUMMYFUNCTION("IMPORTRANGE(""https://docs.google.com/spreadsheets/d/1XL5vhW3sbDhbH9Cz0tuDiY8C3ctxq1tqvaCgkFb8cCA/edit?usp=sharing"",""ชัยภูมิ!I396"")"),0)</f>
        <v>0</v>
      </c>
      <c r="J501" s="164">
        <f ca="1">IFERROR(__xludf.DUMMYFUNCTION("IMPORTRANGE(""https://docs.google.com/spreadsheets/d/1XL5vhW3sbDhbH9Cz0tuDiY8C3ctxq1tqvaCgkFb8cCA/edit?usp=sharing"",""ชัยภูมิ!J396"")"),0)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IFERROR(__xludf.DUMMYFUNCTION("IMPORTRANGE(""https://docs.google.com/spreadsheets/d/1XL5vhW3sbDhbH9Cz0tuDiY8C3ctxq1tqvaCgkFb8cCA/edit?usp=sharing"",""ชัยภูมิ!I397"")"),0)</f>
        <v>0</v>
      </c>
      <c r="J502" s="190">
        <f ca="1">IFERROR(__xludf.DUMMYFUNCTION("IMPORTRANGE(""https://docs.google.com/spreadsheets/d/1XL5vhW3sbDhbH9Cz0tuDiY8C3ctxq1tqvaCgkFb8cCA/edit?usp=sharing"",""ชัยภูมิ!J397"")"),0)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IFERROR(__xludf.DUMMYFUNCTION("IMPORTRANGE(""https://docs.google.com/spreadsheets/d/1XL5vhW3sbDhbH9Cz0tuDiY8C3ctxq1tqvaCgkFb8cCA/edit?usp=sharing"",""ชัยภูมิ!I398"")"),0)</f>
        <v>0</v>
      </c>
      <c r="J503" s="199">
        <f ca="1">IFERROR(__xludf.DUMMYFUNCTION("IMPORTRANGE(""https://docs.google.com/spreadsheets/d/1XL5vhW3sbDhbH9Cz0tuDiY8C3ctxq1tqvaCgkFb8cCA/edit?usp=sharing"",""ชัยภูมิ!J398"")"),0)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IFERROR(__xludf.DUMMYFUNCTION("IMPORTRANGE(""https://docs.google.com/spreadsheets/d/1XL5vhW3sbDhbH9Cz0tuDiY8C3ctxq1tqvaCgkFb8cCA/edit?usp=sharing"",""ชัยภูมิ!I399"")"),0)</f>
        <v>0</v>
      </c>
      <c r="J504" s="190">
        <f ca="1">IFERROR(__xludf.DUMMYFUNCTION("IMPORTRANGE(""https://docs.google.com/spreadsheets/d/1XL5vhW3sbDhbH9Cz0tuDiY8C3ctxq1tqvaCgkFb8cCA/edit?usp=sharing"",""ชัยภูมิ!J399"")"),0)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IFERROR(__xludf.DUMMYFUNCTION("IMPORTRANGE(""https://docs.google.com/spreadsheets/d/1XL5vhW3sbDhbH9Cz0tuDiY8C3ctxq1tqvaCgkFb8cCA/edit?usp=sharing"",""ชัยภูมิ!I400"")"),0)</f>
        <v>0</v>
      </c>
      <c r="J505" s="199">
        <f ca="1">IFERROR(__xludf.DUMMYFUNCTION("IMPORTRANGE(""https://docs.google.com/spreadsheets/d/1XL5vhW3sbDhbH9Cz0tuDiY8C3ctxq1tqvaCgkFb8cCA/edit?usp=sharing"",""ชัยภูมิ!J400"")"),0)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IFERROR(__xludf.DUMMYFUNCTION("IMPORTRANGE(""https://docs.google.com/spreadsheets/d/1XL5vhW3sbDhbH9Cz0tuDiY8C3ctxq1tqvaCgkFb8cCA/edit?usp=sharing"",""ชัยภูมิ!I401"")"),0)</f>
        <v>0</v>
      </c>
      <c r="J506" s="190">
        <f ca="1">IFERROR(__xludf.DUMMYFUNCTION("IMPORTRANGE(""https://docs.google.com/spreadsheets/d/1XL5vhW3sbDhbH9Cz0tuDiY8C3ctxq1tqvaCgkFb8cCA/edit?usp=sharing"",""ชัยภูมิ!J401"")"),0)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IFERROR(__xludf.DUMMYFUNCTION("IMPORTRANGE(""https://docs.google.com/spreadsheets/d/1XL5vhW3sbDhbH9Cz0tuDiY8C3ctxq1tqvaCgkFb8cCA/edit?usp=sharing"",""ชัยภูมิ!I402"")"),0)</f>
        <v>0</v>
      </c>
      <c r="J507" s="199">
        <f ca="1">IFERROR(__xludf.DUMMYFUNCTION("IMPORTRANGE(""https://docs.google.com/spreadsheets/d/1XL5vhW3sbDhbH9Cz0tuDiY8C3ctxq1tqvaCgkFb8cCA/edit?usp=sharing"",""ชัยภูมิ!J402"")"),0)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IFERROR(__xludf.DUMMYFUNCTION("IMPORTRANGE(""https://docs.google.com/spreadsheets/d/1XL5vhW3sbDhbH9Cz0tuDiY8C3ctxq1tqvaCgkFb8cCA/edit?usp=sharing"",""ชัยภูมิ!I403"")"),0)</f>
        <v>0</v>
      </c>
      <c r="J508" s="164">
        <f ca="1">IFERROR(__xludf.DUMMYFUNCTION("IMPORTRANGE(""https://docs.google.com/spreadsheets/d/1XL5vhW3sbDhbH9Cz0tuDiY8C3ctxq1tqvaCgkFb8cCA/edit?usp=sharing"",""ชัยภูมิ!J403"")"),0)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IFERROR(__xludf.DUMMYFUNCTION("IMPORTRANGE(""https://docs.google.com/spreadsheets/d/1XL5vhW3sbDhbH9Cz0tuDiY8C3ctxq1tqvaCgkFb8cCA/edit?usp=sharing"",""ชัยภูมิ!I404"")"),0)</f>
        <v>0</v>
      </c>
      <c r="J509" s="164">
        <f ca="1">IFERROR(__xludf.DUMMYFUNCTION("IMPORTRANGE(""https://docs.google.com/spreadsheets/d/1XL5vhW3sbDhbH9Cz0tuDiY8C3ctxq1tqvaCgkFb8cCA/edit?usp=sharing"",""ชัยภูมิ!J404"")"),0)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IFERROR(__xludf.DUMMYFUNCTION("IMPORTRANGE(""https://docs.google.com/spreadsheets/d/1XL5vhW3sbDhbH9Cz0tuDiY8C3ctxq1tqvaCgkFb8cCA/edit?usp=sharing"",""ชัยภูมิ!I405"")"),0)</f>
        <v>0</v>
      </c>
      <c r="J510" s="199">
        <f ca="1">IFERROR(__xludf.DUMMYFUNCTION("IMPORTRANGE(""https://docs.google.com/spreadsheets/d/1XL5vhW3sbDhbH9Cz0tuDiY8C3ctxq1tqvaCgkFb8cCA/edit?usp=sharing"",""ชัยภูมิ!J405"")"),0)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IFERROR(__xludf.DUMMYFUNCTION("IMPORTRANGE(""https://docs.google.com/spreadsheets/d/1XL5vhW3sbDhbH9Cz0tuDiY8C3ctxq1tqvaCgkFb8cCA/edit?usp=sharing"",""ชัยภูมิ!I406"")"),0)</f>
        <v>0</v>
      </c>
      <c r="J511" s="199">
        <f ca="1">IFERROR(__xludf.DUMMYFUNCTION("IMPORTRANGE(""https://docs.google.com/spreadsheets/d/1XL5vhW3sbDhbH9Cz0tuDiY8C3ctxq1tqvaCgkFb8cCA/edit?usp=sharing"",""ชัยภูมิ!J406"")"),0)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IFERROR(__xludf.DUMMYFUNCTION("IMPORTRANGE(""https://docs.google.com/spreadsheets/d/1XL5vhW3sbDhbH9Cz0tuDiY8C3ctxq1tqvaCgkFb8cCA/edit?usp=sharing"",""ชัยภูมิ!I407"")"),0)</f>
        <v>0</v>
      </c>
      <c r="J512" s="199">
        <f ca="1">IFERROR(__xludf.DUMMYFUNCTION("IMPORTRANGE(""https://docs.google.com/spreadsheets/d/1XL5vhW3sbDhbH9Cz0tuDiY8C3ctxq1tqvaCgkFb8cCA/edit?usp=sharing"",""ชัยภูมิ!J407"")"),0)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IFERROR(__xludf.DUMMYFUNCTION("IMPORTRANGE(""https://docs.google.com/spreadsheets/d/1XL5vhW3sbDhbH9Cz0tuDiY8C3ctxq1tqvaCgkFb8cCA/edit?usp=sharing"",""ชัยภูมิ!I408"")"),0)</f>
        <v>0</v>
      </c>
      <c r="J513" s="199">
        <f ca="1">IFERROR(__xludf.DUMMYFUNCTION("IMPORTRANGE(""https://docs.google.com/spreadsheets/d/1XL5vhW3sbDhbH9Cz0tuDiY8C3ctxq1tqvaCgkFb8cCA/edit?usp=sharing"",""ชัยภูมิ!J408"")"),0)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IFERROR(__xludf.DUMMYFUNCTION("IMPORTRANGE(""https://docs.google.com/spreadsheets/d/1XL5vhW3sbDhbH9Cz0tuDiY8C3ctxq1tqvaCgkFb8cCA/edit?usp=sharing"",""ชัยภูมิ!I409"")"),0)</f>
        <v>0</v>
      </c>
      <c r="J514" s="199">
        <f ca="1">IFERROR(__xludf.DUMMYFUNCTION("IMPORTRANGE(""https://docs.google.com/spreadsheets/d/1XL5vhW3sbDhbH9Cz0tuDiY8C3ctxq1tqvaCgkFb8cCA/edit?usp=sharing"",""ชัยภูมิ!J409"")"),0)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IFERROR(__xludf.DUMMYFUNCTION("IMPORTRANGE(""https://docs.google.com/spreadsheets/d/1XL5vhW3sbDhbH9Cz0tuDiY8C3ctxq1tqvaCgkFb8cCA/edit?usp=sharing"",""ชัยภูมิ!I410"")"),0)</f>
        <v>0</v>
      </c>
      <c r="J515" s="199">
        <f ca="1">IFERROR(__xludf.DUMMYFUNCTION("IMPORTRANGE(""https://docs.google.com/spreadsheets/d/1XL5vhW3sbDhbH9Cz0tuDiY8C3ctxq1tqvaCgkFb8cCA/edit?usp=sharing"",""ชัยภูมิ!J410"")"),0)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IFERROR(__xludf.DUMMYFUNCTION("IMPORTRANGE(""https://docs.google.com/spreadsheets/d/1XL5vhW3sbDhbH9Cz0tuDiY8C3ctxq1tqvaCgkFb8cCA/edit?usp=sharing"",""ชัยภูมิ!I412"")"),0)</f>
        <v>0</v>
      </c>
      <c r="J517" s="284">
        <f ca="1">IFERROR(__xludf.DUMMYFUNCTION("IMPORTRANGE(""https://docs.google.com/spreadsheets/d/1XL5vhW3sbDhbH9Cz0tuDiY8C3ctxq1tqvaCgkFb8cCA/edit?usp=sharing"",""ชัยภูมิ!J412"")"),0)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IFERROR(__xludf.DUMMYFUNCTION("IMPORTRANGE(""https://docs.google.com/spreadsheets/d/1XL5vhW3sbDhbH9Cz0tuDiY8C3ctxq1tqvaCgkFb8cCA/edit?usp=sharing"",""ชัยภูมิ!I413"")"),0)</f>
        <v>0</v>
      </c>
      <c r="J518" s="284">
        <f ca="1">IFERROR(__xludf.DUMMYFUNCTION("IMPORTRANGE(""https://docs.google.com/spreadsheets/d/1XL5vhW3sbDhbH9Cz0tuDiY8C3ctxq1tqvaCgkFb8cCA/edit?usp=sharing"",""ชัยภูมิ!J413"")"),0)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IFERROR(__xludf.DUMMYFUNCTION("IMPORTRANGE(""https://docs.google.com/spreadsheets/d/1XL5vhW3sbDhbH9Cz0tuDiY8C3ctxq1tqvaCgkFb8cCA/edit?usp=sharing"",""ชัยภูมิ!I414"")"),0)</f>
        <v>0</v>
      </c>
      <c r="J519" s="189">
        <f ca="1">IFERROR(__xludf.DUMMYFUNCTION("IMPORTRANGE(""https://docs.google.com/spreadsheets/d/1XL5vhW3sbDhbH9Cz0tuDiY8C3ctxq1tqvaCgkFb8cCA/edit?usp=sharing"",""ชัยภูมิ!J414"")"),0)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IFERROR(__xludf.DUMMYFUNCTION("IMPORTRANGE(""https://docs.google.com/spreadsheets/d/1XL5vhW3sbDhbH9Cz0tuDiY8C3ctxq1tqvaCgkFb8cCA/edit?usp=sharing"",""ชัยภูมิ!I415"")"),0)</f>
        <v>0</v>
      </c>
      <c r="J520" s="189">
        <f ca="1">IFERROR(__xludf.DUMMYFUNCTION("IMPORTRANGE(""https://docs.google.com/spreadsheets/d/1XL5vhW3sbDhbH9Cz0tuDiY8C3ctxq1tqvaCgkFb8cCA/edit?usp=sharing"",""ชัยภูมิ!J415"")"),0)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IFERROR(__xludf.DUMMYFUNCTION("IMPORTRANGE(""https://docs.google.com/spreadsheets/d/1XL5vhW3sbDhbH9Cz0tuDiY8C3ctxq1tqvaCgkFb8cCA/edit?usp=sharing"",""ชัยภูมิ!I416"")"),0)</f>
        <v>0</v>
      </c>
      <c r="J521" s="189">
        <f ca="1">IFERROR(__xludf.DUMMYFUNCTION("IMPORTRANGE(""https://docs.google.com/spreadsheets/d/1XL5vhW3sbDhbH9Cz0tuDiY8C3ctxq1tqvaCgkFb8cCA/edit?usp=sharing"",""ชัยภูมิ!J416"")"),0)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IFERROR(__xludf.DUMMYFUNCTION("IMPORTRANGE(""https://docs.google.com/spreadsheets/d/1XL5vhW3sbDhbH9Cz0tuDiY8C3ctxq1tqvaCgkFb8cCA/edit?usp=sharing"",""ชัยภูมิ!I417"")"),0)</f>
        <v>0</v>
      </c>
      <c r="J522" s="189">
        <f ca="1">IFERROR(__xludf.DUMMYFUNCTION("IMPORTRANGE(""https://docs.google.com/spreadsheets/d/1XL5vhW3sbDhbH9Cz0tuDiY8C3ctxq1tqvaCgkFb8cCA/edit?usp=sharing"",""ชัยภูมิ!J417"")"),0)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IFERROR(__xludf.DUMMYFUNCTION("IMPORTRANGE(""https://docs.google.com/spreadsheets/d/1XL5vhW3sbDhbH9Cz0tuDiY8C3ctxq1tqvaCgkFb8cCA/edit?usp=sharing"",""ชัยภูมิ!I418"")"),0)</f>
        <v>0</v>
      </c>
      <c r="J523" s="189">
        <f ca="1">IFERROR(__xludf.DUMMYFUNCTION("IMPORTRANGE(""https://docs.google.com/spreadsheets/d/1XL5vhW3sbDhbH9Cz0tuDiY8C3ctxq1tqvaCgkFb8cCA/edit?usp=sharing"",""ชัยภูมิ!J418"")"),0)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IFERROR(__xludf.DUMMYFUNCTION("IMPORTRANGE(""https://docs.google.com/spreadsheets/d/1XL5vhW3sbDhbH9Cz0tuDiY8C3ctxq1tqvaCgkFb8cCA/edit?usp=sharing"",""ชัยภูมิ!I419"")"),0)</f>
        <v>0</v>
      </c>
      <c r="J524" s="189">
        <f ca="1">IFERROR(__xludf.DUMMYFUNCTION("IMPORTRANGE(""https://docs.google.com/spreadsheets/d/1XL5vhW3sbDhbH9Cz0tuDiY8C3ctxq1tqvaCgkFb8cCA/edit?usp=sharing"",""ชัยภูมิ!J419"")"),0)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IFERROR(__xludf.DUMMYFUNCTION("IMPORTRANGE(""https://docs.google.com/spreadsheets/d/1XL5vhW3sbDhbH9Cz0tuDiY8C3ctxq1tqvaCgkFb8cCA/edit?usp=sharing"",""ชัยภูมิ!I420"")"),0)</f>
        <v>0</v>
      </c>
      <c r="J525" s="284">
        <f ca="1">IFERROR(__xludf.DUMMYFUNCTION("IMPORTRANGE(""https://docs.google.com/spreadsheets/d/1XL5vhW3sbDhbH9Cz0tuDiY8C3ctxq1tqvaCgkFb8cCA/edit?usp=sharing"",""ชัยภูมิ!J420"")"),0)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IFERROR(__xludf.DUMMYFUNCTION("IMPORTRANGE(""https://docs.google.com/spreadsheets/d/1XL5vhW3sbDhbH9Cz0tuDiY8C3ctxq1tqvaCgkFb8cCA/edit?usp=sharing"",""ชัยภูมิ!I421"")"),0)</f>
        <v>0</v>
      </c>
      <c r="J526" s="284">
        <f ca="1">IFERROR(__xludf.DUMMYFUNCTION("IMPORTRANGE(""https://docs.google.com/spreadsheets/d/1XL5vhW3sbDhbH9Cz0tuDiY8C3ctxq1tqvaCgkFb8cCA/edit?usp=sharing"",""ชัยภูมิ!J421"")"),0)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IFERROR(__xludf.DUMMYFUNCTION("IMPORTRANGE(""https://docs.google.com/spreadsheets/d/1XL5vhW3sbDhbH9Cz0tuDiY8C3ctxq1tqvaCgkFb8cCA/edit?usp=sharing"",""ชัยภูมิ!I422"")"),0)</f>
        <v>0</v>
      </c>
      <c r="J527" s="199">
        <f ca="1">IFERROR(__xludf.DUMMYFUNCTION("IMPORTRANGE(""https://docs.google.com/spreadsheets/d/1XL5vhW3sbDhbH9Cz0tuDiY8C3ctxq1tqvaCgkFb8cCA/edit?usp=sharing"",""ชัยภูมิ!J422"")"),0)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IFERROR(__xludf.DUMMYFUNCTION("IMPORTRANGE(""https://docs.google.com/spreadsheets/d/1XL5vhW3sbDhbH9Cz0tuDiY8C3ctxq1tqvaCgkFb8cCA/edit?usp=sharing"",""ชัยภูมิ!I423"")"),0)</f>
        <v>0</v>
      </c>
      <c r="J528" s="199">
        <f ca="1">IFERROR(__xludf.DUMMYFUNCTION("IMPORTRANGE(""https://docs.google.com/spreadsheets/d/1XL5vhW3sbDhbH9Cz0tuDiY8C3ctxq1tqvaCgkFb8cCA/edit?usp=sharing"",""ชัยภูมิ!J423"")"),0)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IFERROR(__xludf.DUMMYFUNCTION("IMPORTRANGE(""https://docs.google.com/spreadsheets/d/1XL5vhW3sbDhbH9Cz0tuDiY8C3ctxq1tqvaCgkFb8cCA/edit?usp=sharing"",""ชัยภูมิ!I424"")"),0)</f>
        <v>0</v>
      </c>
      <c r="J529" s="199">
        <f ca="1">IFERROR(__xludf.DUMMYFUNCTION("IMPORTRANGE(""https://docs.google.com/spreadsheets/d/1XL5vhW3sbDhbH9Cz0tuDiY8C3ctxq1tqvaCgkFb8cCA/edit?usp=sharing"",""ชัยภูมิ!J424"")"),0)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IFERROR(__xludf.DUMMYFUNCTION("IMPORTRANGE(""https://docs.google.com/spreadsheets/d/1XL5vhW3sbDhbH9Cz0tuDiY8C3ctxq1tqvaCgkFb8cCA/edit?usp=sharing"",""ชัยภูมิ!I425"")"),0)</f>
        <v>0</v>
      </c>
      <c r="J530" s="199">
        <f ca="1">IFERROR(__xludf.DUMMYFUNCTION("IMPORTRANGE(""https://docs.google.com/spreadsheets/d/1XL5vhW3sbDhbH9Cz0tuDiY8C3ctxq1tqvaCgkFb8cCA/edit?usp=sharing"",""ชัยภูมิ!J425"")"),0)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IFERROR(__xludf.DUMMYFUNCTION("IMPORTRANGE(""https://docs.google.com/spreadsheets/d/1XL5vhW3sbDhbH9Cz0tuDiY8C3ctxq1tqvaCgkFb8cCA/edit?usp=sharing"",""ชัยภูมิ!I426"")"),0)</f>
        <v>0</v>
      </c>
      <c r="J531" s="199">
        <f ca="1">IFERROR(__xludf.DUMMYFUNCTION("IMPORTRANGE(""https://docs.google.com/spreadsheets/d/1XL5vhW3sbDhbH9Cz0tuDiY8C3ctxq1tqvaCgkFb8cCA/edit?usp=sharing"",""ชัยภูมิ!J426"")"),0)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IFERROR(__xludf.DUMMYFUNCTION("IMPORTRANGE(""https://docs.google.com/spreadsheets/d/1XL5vhW3sbDhbH9Cz0tuDiY8C3ctxq1tqvaCgkFb8cCA/edit?usp=sharing"",""ชัยภูมิ!L429"")"),0)</f>
        <v>0</v>
      </c>
      <c r="M534" s="166"/>
      <c r="N534" s="170">
        <f ca="1">IFERROR(__xludf.DUMMYFUNCTION("IMPORTRANGE(""https://docs.google.com/spreadsheets/d/1XL5vhW3sbDhbH9Cz0tuDiY8C3ctxq1tqvaCgkFb8cCA/edit?usp=sharing"",""ชัยภูมิ!M429"")"),0)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IFERROR(__xludf.DUMMYFUNCTION("IMPORTRANGE(""https://docs.google.com/spreadsheets/d/1XL5vhW3sbDhbH9Cz0tuDiY8C3ctxq1tqvaCgkFb8cCA/edit?usp=sharing"",""ชัยภูมิ!L430"")"),37740)</f>
        <v>37740</v>
      </c>
      <c r="M535" s="167"/>
      <c r="N535" s="170">
        <f ca="1">IFERROR(__xludf.DUMMYFUNCTION("IMPORTRANGE(""https://docs.google.com/spreadsheets/d/1XL5vhW3sbDhbH9Cz0tuDiY8C3ctxq1tqvaCgkFb8cCA/edit?usp=sharing"",""ชัยภูมิ!M430"")"),27634)</f>
        <v>27634</v>
      </c>
      <c r="O535" s="170">
        <f t="shared" ca="1" si="118"/>
        <v>73.222045574986751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IFERROR(__xludf.DUMMYFUNCTION("IMPORTRANGE(""https://docs.google.com/spreadsheets/d/1XL5vhW3sbDhbH9Cz0tuDiY8C3ctxq1tqvaCgkFb8cCA/edit?usp=sharing"",""ชัยภูมิ!L431"")"),0)</f>
        <v>0</v>
      </c>
      <c r="M536" s="170"/>
      <c r="N536" s="170">
        <f ca="1">IFERROR(__xludf.DUMMYFUNCTION("IMPORTRANGE(""https://docs.google.com/spreadsheets/d/1XL5vhW3sbDhbH9Cz0tuDiY8C3ctxq1tqvaCgkFb8cCA/edit?usp=sharing"",""ชัยภูมิ!M431"")"),0)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IFERROR(__xludf.DUMMYFUNCTION("IMPORTRANGE(""https://docs.google.com/spreadsheets/d/1XL5vhW3sbDhbH9Cz0tuDiY8C3ctxq1tqvaCgkFb8cCA/edit?usp=sharing"",""ชัยภูมิ!L432"")"),37740)</f>
        <v>37740</v>
      </c>
      <c r="M537" s="170"/>
      <c r="N537" s="170">
        <f ca="1">IFERROR(__xludf.DUMMYFUNCTION("IMPORTRANGE(""https://docs.google.com/spreadsheets/d/1XL5vhW3sbDhbH9Cz0tuDiY8C3ctxq1tqvaCgkFb8cCA/edit?usp=sharing"",""ชัยภูมิ!M432"")"),27634)</f>
        <v>27634</v>
      </c>
      <c r="O537" s="170">
        <f t="shared" ca="1" si="118"/>
        <v>73.222045574986751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IFERROR(__xludf.DUMMYFUNCTION("IMPORTRANGE(""https://docs.google.com/spreadsheets/d/1XL5vhW3sbDhbH9Cz0tuDiY8C3ctxq1tqvaCgkFb8cCA/edit?usp=sharing"",""ชัยภูมิ!J438"")"),0)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IFERROR(__xludf.DUMMYFUNCTION("IMPORTRANGE(""https://docs.google.com/spreadsheets/d/1XL5vhW3sbDhbH9Cz0tuDiY8C3ctxq1tqvaCgkFb8cCA/edit?usp=sharing"",""ชัยภูมิ!J439"")"),1)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IFERROR(__xludf.DUMMYFUNCTION("IMPORTRANGE(""https://docs.google.com/spreadsheets/d/1XL5vhW3sbDhbH9Cz0tuDiY8C3ctxq1tqvaCgkFb8cCA/edit?usp=sharing"",""ชัยภูมิ!J440"")"),1)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IFERROR(__xludf.DUMMYFUNCTION("IMPORTRANGE(""https://docs.google.com/spreadsheets/d/1XL5vhW3sbDhbH9Cz0tuDiY8C3ctxq1tqvaCgkFb8cCA/edit?usp=sharing"",""ชัยภูมิ!J441"")"),1)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IFERROR(__xludf.DUMMYFUNCTION("IMPORTRANGE(""https://docs.google.com/spreadsheets/d/1XL5vhW3sbDhbH9Cz0tuDiY8C3ctxq1tqvaCgkFb8cCA/edit?usp=sharing"",""ชัยภูมิ!I442"")"),26)</f>
        <v>26</v>
      </c>
      <c r="J547" s="190">
        <f ca="1">IFERROR(__xludf.DUMMYFUNCTION("IMPORTRANGE(""https://docs.google.com/spreadsheets/d/1XL5vhW3sbDhbH9Cz0tuDiY8C3ctxq1tqvaCgkFb8cCA/edit?usp=sharing"",""ชัยภูมิ!J442"")"),26)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IFERROR(__xludf.DUMMYFUNCTION("IMPORTRANGE(""https://docs.google.com/spreadsheets/d/1XL5vhW3sbDhbH9Cz0tuDiY8C3ctxq1tqvaCgkFb8cCA/edit?usp=sharing"",""ชัยภูมิ!J166"")"),0)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IFERROR(__xludf.DUMMYFUNCTION("IMPORTRANGE(""https://docs.google.com/spreadsheets/d/1XL5vhW3sbDhbH9Cz0tuDiY8C3ctxq1tqvaCgkFb8cCA/edit?usp=sharing"",""ชัยภูมิ!J444"")"),0)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IFERROR(__xludf.DUMMYFUNCTION("IMPORTRANGE(""https://docs.google.com/spreadsheets/d/1XL5vhW3sbDhbH9Cz0tuDiY8C3ctxq1tqvaCgkFb8cCA/edit?usp=sharing"",""ชัยภูมิ!L447"")"),0)</f>
        <v>0</v>
      </c>
      <c r="M552" s="166"/>
      <c r="N552" s="170">
        <f ca="1">IFERROR(__xludf.DUMMYFUNCTION("IMPORTRANGE(""https://docs.google.com/spreadsheets/d/1XL5vhW3sbDhbH9Cz0tuDiY8C3ctxq1tqvaCgkFb8cCA/edit?usp=sharing"",""ชัยภูมิ!M447"")"),0)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IFERROR(__xludf.DUMMYFUNCTION("IMPORTRANGE(""https://docs.google.com/spreadsheets/d/1XL5vhW3sbDhbH9Cz0tuDiY8C3ctxq1tqvaCgkFb8cCA/edit?usp=sharing"",""ชัยภูมิ!L448"")"),0)</f>
        <v>0</v>
      </c>
      <c r="M553" s="167"/>
      <c r="N553" s="170">
        <f ca="1">IFERROR(__xludf.DUMMYFUNCTION("IMPORTRANGE(""https://docs.google.com/spreadsheets/d/1XL5vhW3sbDhbH9Cz0tuDiY8C3ctxq1tqvaCgkFb8cCA/edit?usp=sharing"",""ชัยภูมิ!M448"")"),0)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IFERROR(__xludf.DUMMYFUNCTION("IMPORTRANGE(""https://docs.google.com/spreadsheets/d/1XL5vhW3sbDhbH9Cz0tuDiY8C3ctxq1tqvaCgkFb8cCA/edit?usp=sharing"",""ชัยภูมิ!L449"")"),0)</f>
        <v>0</v>
      </c>
      <c r="M554" s="170"/>
      <c r="N554" s="170">
        <f ca="1">IFERROR(__xludf.DUMMYFUNCTION("IMPORTRANGE(""https://docs.google.com/spreadsheets/d/1XL5vhW3sbDhbH9Cz0tuDiY8C3ctxq1tqvaCgkFb8cCA/edit?usp=sharing"",""ชัยภูมิ!M449"")"),0)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IFERROR(__xludf.DUMMYFUNCTION("IMPORTRANGE(""https://docs.google.com/spreadsheets/d/1XL5vhW3sbDhbH9Cz0tuDiY8C3ctxq1tqvaCgkFb8cCA/edit?usp=sharing"",""ชัยภูมิ!L450"")"),0)</f>
        <v>0</v>
      </c>
      <c r="M555" s="170"/>
      <c r="N555" s="170">
        <f ca="1">IFERROR(__xludf.DUMMYFUNCTION("IMPORTRANGE(""https://docs.google.com/spreadsheets/d/1XL5vhW3sbDhbH9Cz0tuDiY8C3ctxq1tqvaCgkFb8cCA/edit?usp=sharing"",""ชัยภูมิ!M450"")"),0)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IFERROR(__xludf.DUMMYFUNCTION("IMPORTRANGE(""https://docs.google.com/spreadsheets/d/1XL5vhW3sbDhbH9Cz0tuDiY8C3ctxq1tqvaCgkFb8cCA/edit?usp=sharing"",""ชัยภูมิ!M451"")"),0)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IFERROR(__xludf.DUMMYFUNCTION("IMPORTRANGE(""https://docs.google.com/spreadsheets/d/1XL5vhW3sbDhbH9Cz0tuDiY8C3ctxq1tqvaCgkFb8cCA/edit?usp=sharing"",""ชัยภูมิ!M452"")"),0)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IFERROR(__xludf.DUMMYFUNCTION("IMPORTRANGE(""https://docs.google.com/spreadsheets/d/1XL5vhW3sbDhbH9Cz0tuDiY8C3ctxq1tqvaCgkFb8cCA/edit?usp=sharing"",""ชัยภูมิ!M453"")"),0)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IFERROR(__xludf.DUMMYFUNCTION("IMPORTRANGE(""https://docs.google.com/spreadsheets/d/1XL5vhW3sbDhbH9Cz0tuDiY8C3ctxq1tqvaCgkFb8cCA/edit?usp=sharing"",""ชัยภูมิ!M454"")"),0)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IFERROR(__xludf.DUMMYFUNCTION("IMPORTRANGE(""https://docs.google.com/spreadsheets/d/1XL5vhW3sbDhbH9Cz0tuDiY8C3ctxq1tqvaCgkFb8cCA/edit?usp=sharing"",""ชัยภูมิ!I455"")"),0)</f>
        <v>0</v>
      </c>
      <c r="J560" s="164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IFERROR(__xludf.DUMMYFUNCTION("IMPORTRANGE(""https://docs.google.com/spreadsheets/d/1XL5vhW3sbDhbH9Cz0tuDiY8C3ctxq1tqvaCgkFb8cCA/edit?usp=sharing"",""ชัยภูมิ!I456"")"),0)</f>
        <v>0</v>
      </c>
      <c r="J561" s="205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IFERROR(__xludf.DUMMYFUNCTION("IMPORTRANGE(""https://docs.google.com/spreadsheets/d/1XL5vhW3sbDhbH9Cz0tuDiY8C3ctxq1tqvaCgkFb8cCA/edit?usp=sharing"",""ชัยภูมิ!I457"")"),0)</f>
        <v>0</v>
      </c>
      <c r="J562" s="205" t="str">
        <f ca="1">IFERROR(__xludf.DUMMYFUNCTION("IMPORTRANGE(""https://docs.google.com/spreadsheets/d/1XL5vhW3sbDhbH9Cz0tuDiY8C3ctxq1tqvaCgkFb8cCA/edit?usp=sharing"",""ชัยภูมิ!J457"")"),"")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IFERROR(__xludf.DUMMYFUNCTION("IMPORTRANGE(""https://docs.google.com/spreadsheets/d/1XL5vhW3sbDhbH9Cz0tuDiY8C3ctxq1tqvaCgkFb8cCA/edit?usp=sharing"",""ชัยภูมิ!I458"")"),0)</f>
        <v>0</v>
      </c>
      <c r="J563" s="189" t="str">
        <f ca="1">IFERROR(__xludf.DUMMYFUNCTION("IMPORTRANGE(""https://docs.google.com/spreadsheets/d/1XL5vhW3sbDhbH9Cz0tuDiY8C3ctxq1tqvaCgkFb8cCA/edit?usp=sharing"",""ชัยภูมิ!J458"")"),"")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IFERROR(__xludf.DUMMYFUNCTION("IMPORTRANGE(""https://docs.google.com/spreadsheets/d/1XL5vhW3sbDhbH9Cz0tuDiY8C3ctxq1tqvaCgkFb8cCA/edit?usp=sharing"",""ชัยภูมิ!J459"")"),2343)</f>
        <v>2343</v>
      </c>
      <c r="K564" s="372">
        <f t="shared" ca="1" si="121"/>
        <v>50.934782608695649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IFERROR(__xludf.DUMMYFUNCTION("IMPORTRANGE(""https://docs.google.com/spreadsheets/d/1XL5vhW3sbDhbH9Cz0tuDiY8C3ctxq1tqvaCgkFb8cCA/edit?usp=sharing"",""ชัยภูมิ!L460"")"),0)</f>
        <v>0</v>
      </c>
      <c r="M565" s="166"/>
      <c r="N565" s="170">
        <f ca="1">IFERROR(__xludf.DUMMYFUNCTION("IMPORTRANGE(""https://docs.google.com/spreadsheets/d/1XL5vhW3sbDhbH9Cz0tuDiY8C3ctxq1tqvaCgkFb8cCA/edit?usp=sharing"",""ชัยภูมิ!M460"")"),0)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IFERROR(__xludf.DUMMYFUNCTION("IMPORTRANGE(""https://docs.google.com/spreadsheets/d/1XL5vhW3sbDhbH9Cz0tuDiY8C3ctxq1tqvaCgkFb8cCA/edit?usp=sharing"",""ชัยภูมิ!L461"")"),172800)</f>
        <v>172800</v>
      </c>
      <c r="M566" s="167"/>
      <c r="N566" s="170">
        <f ca="1">IFERROR(__xludf.DUMMYFUNCTION("IMPORTRANGE(""https://docs.google.com/spreadsheets/d/1XL5vhW3sbDhbH9Cz0tuDiY8C3ctxq1tqvaCgkFb8cCA/edit?usp=sharing"",""ชัยภูมิ!M461"")"),21318)</f>
        <v>21318</v>
      </c>
      <c r="O566" s="170">
        <f t="shared" ca="1" si="122"/>
        <v>12.336805555555555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IFERROR(__xludf.DUMMYFUNCTION("IMPORTRANGE(""https://docs.google.com/spreadsheets/d/1XL5vhW3sbDhbH9Cz0tuDiY8C3ctxq1tqvaCgkFb8cCA/edit?usp=sharing"",""ชัยภูมิ!L462"")"),0)</f>
        <v>0</v>
      </c>
      <c r="M567" s="170"/>
      <c r="N567" s="170">
        <f ca="1">IFERROR(__xludf.DUMMYFUNCTION("IMPORTRANGE(""https://docs.google.com/spreadsheets/d/1XL5vhW3sbDhbH9Cz0tuDiY8C3ctxq1tqvaCgkFb8cCA/edit?usp=sharing"",""ชัยภูมิ!M462"")"),0)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IFERROR(__xludf.DUMMYFUNCTION("IMPORTRANGE(""https://docs.google.com/spreadsheets/d/1XL5vhW3sbDhbH9Cz0tuDiY8C3ctxq1tqvaCgkFb8cCA/edit?usp=sharing"",""ชัยภูมิ!L463"")"),172800)</f>
        <v>172800</v>
      </c>
      <c r="M568" s="170"/>
      <c r="N568" s="170">
        <f ca="1">IFERROR(__xludf.DUMMYFUNCTION("IMPORTRANGE(""https://docs.google.com/spreadsheets/d/1XL5vhW3sbDhbH9Cz0tuDiY8C3ctxq1tqvaCgkFb8cCA/edit?usp=sharing"",""ชัยภูมิ!M463"")"),21318)</f>
        <v>21318</v>
      </c>
      <c r="O568" s="170">
        <f t="shared" ca="1" si="122"/>
        <v>12.336805555555555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IFERROR(__xludf.DUMMYFUNCTION("IMPORTRANGE(""https://docs.google.com/spreadsheets/d/1XL5vhW3sbDhbH9Cz0tuDiY8C3ctxq1tqvaCgkFb8cCA/edit?usp=sharing"",""ชัยภูมิ!M464"")"),0)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IFERROR(__xludf.DUMMYFUNCTION("IMPORTRANGE(""https://docs.google.com/spreadsheets/d/1XL5vhW3sbDhbH9Cz0tuDiY8C3ctxq1tqvaCgkFb8cCA/edit?usp=sharing"",""ชัยภูมิ!M465"")"),0)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IFERROR(__xludf.DUMMYFUNCTION("IMPORTRANGE(""https://docs.google.com/spreadsheets/d/1XL5vhW3sbDhbH9Cz0tuDiY8C3ctxq1tqvaCgkFb8cCA/edit?usp=sharing"",""ชัยภูมิ!J468"")"),2343)</f>
        <v>2343</v>
      </c>
      <c r="K573" s="203">
        <f ca="1">IF(I573&gt;0,J573*100/I573,0)</f>
        <v>50.934782608695649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IFERROR(__xludf.DUMMYFUNCTION("IMPORTRANGE(""https://docs.google.com/spreadsheets/d/1XL5vhW3sbDhbH9Cz0tuDiY8C3ctxq1tqvaCgkFb8cCA/edit?usp=sharing"",""ชัยภูมิ!I470"")"),0)</f>
        <v>0</v>
      </c>
      <c r="J575" s="199">
        <f ca="1">IFERROR(__xludf.DUMMYFUNCTION("IMPORTRANGE(""https://docs.google.com/spreadsheets/d/1XL5vhW3sbDhbH9Cz0tuDiY8C3ctxq1tqvaCgkFb8cCA/edit?usp=sharing"",""ชัยภูมิ!J470"")"),1)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IFERROR(__xludf.DUMMYFUNCTION("IMPORTRANGE(""https://docs.google.com/spreadsheets/d/1XL5vhW3sbDhbH9Cz0tuDiY8C3ctxq1tqvaCgkFb8cCA/edit?usp=sharing"",""ชัยภูมิ!I471"")"),0)</f>
        <v>0</v>
      </c>
      <c r="J576" s="199">
        <f ca="1">IFERROR(__xludf.DUMMYFUNCTION("IMPORTRANGE(""https://docs.google.com/spreadsheets/d/1XL5vhW3sbDhbH9Cz0tuDiY8C3ctxq1tqvaCgkFb8cCA/edit?usp=sharing"",""ชัยภูมิ!J471"")"),42)</f>
        <v>42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IFERROR(__xludf.DUMMYFUNCTION("IMPORTRANGE(""https://docs.google.com/spreadsheets/d/1XL5vhW3sbDhbH9Cz0tuDiY8C3ctxq1tqvaCgkFb8cCA/edit?usp=sharing"",""ชัยภูมิ!I472"")"),0)</f>
        <v>0</v>
      </c>
      <c r="J577" s="190">
        <f ca="1">IFERROR(__xludf.DUMMYFUNCTION("IMPORTRANGE(""https://docs.google.com/spreadsheets/d/1XL5vhW3sbDhbH9Cz0tuDiY8C3ctxq1tqvaCgkFb8cCA/edit?usp=sharing"",""ชัยภูมิ!J472"")"),2301)</f>
        <v>2301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IFERROR(__xludf.DUMMYFUNCTION("IMPORTRANGE(""https://docs.google.com/spreadsheets/d/1XL5vhW3sbDhbH9Cz0tuDiY8C3ctxq1tqvaCgkFb8cCA/edit?usp=sharing"",""ชัยภูมิ!I473"")"),0)</f>
        <v>0</v>
      </c>
      <c r="J578" s="199">
        <f ca="1">IFERROR(__xludf.DUMMYFUNCTION("IMPORTRANGE(""https://docs.google.com/spreadsheets/d/1XL5vhW3sbDhbH9Cz0tuDiY8C3ctxq1tqvaCgkFb8cCA/edit?usp=sharing"",""ชัยภูมิ!J473"")"),0)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IFERROR(__xludf.DUMMYFUNCTION("IMPORTRANGE(""https://docs.google.com/spreadsheets/d/1XL5vhW3sbDhbH9Cz0tuDiY8C3ctxq1tqvaCgkFb8cCA/edit?usp=sharing"",""ชัยภูมิ!I474"")"),0)</f>
        <v>0</v>
      </c>
      <c r="J579" s="199">
        <f ca="1">IFERROR(__xludf.DUMMYFUNCTION("IMPORTRANGE(""https://docs.google.com/spreadsheets/d/1XL5vhW3sbDhbH9Cz0tuDiY8C3ctxq1tqvaCgkFb8cCA/edit?usp=sharing"",""ชัยภูมิ!J474"")"),0)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IFERROR(__xludf.DUMMYFUNCTION("IMPORTRANGE(""https://docs.google.com/spreadsheets/d/1XL5vhW3sbDhbH9Cz0tuDiY8C3ctxq1tqvaCgkFb8cCA/edit?usp=sharing"",""ชัยภูมิ!L476"")"),0)</f>
        <v>0</v>
      </c>
      <c r="M581" s="166"/>
      <c r="N581" s="170">
        <f ca="1">IFERROR(__xludf.DUMMYFUNCTION("IMPORTRANGE(""https://docs.google.com/spreadsheets/d/1XL5vhW3sbDhbH9Cz0tuDiY8C3ctxq1tqvaCgkFb8cCA/edit?usp=sharing"",""ชัยภูมิ!M476"")"),0)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IFERROR(__xludf.DUMMYFUNCTION("IMPORTRANGE(""https://docs.google.com/spreadsheets/d/1XL5vhW3sbDhbH9Cz0tuDiY8C3ctxq1tqvaCgkFb8cCA/edit?usp=sharing"",""ชัยภูมิ!L477"")"),0)</f>
        <v>0</v>
      </c>
      <c r="M582" s="167"/>
      <c r="N582" s="170">
        <f ca="1">IFERROR(__xludf.DUMMYFUNCTION("IMPORTRANGE(""https://docs.google.com/spreadsheets/d/1XL5vhW3sbDhbH9Cz0tuDiY8C3ctxq1tqvaCgkFb8cCA/edit?usp=sharing"",""ชัยภูมิ!M477"")"),0)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IFERROR(__xludf.DUMMYFUNCTION("IMPORTRANGE(""https://docs.google.com/spreadsheets/d/1XL5vhW3sbDhbH9Cz0tuDiY8C3ctxq1tqvaCgkFb8cCA/edit?usp=sharing"",""ชัยภูมิ!L478"")"),0)</f>
        <v>0</v>
      </c>
      <c r="M583" s="170"/>
      <c r="N583" s="170">
        <f ca="1">IFERROR(__xludf.DUMMYFUNCTION("IMPORTRANGE(""https://docs.google.com/spreadsheets/d/1XL5vhW3sbDhbH9Cz0tuDiY8C3ctxq1tqvaCgkFb8cCA/edit?usp=sharing"",""ชัยภูมิ!M478"")"),0)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IFERROR(__xludf.DUMMYFUNCTION("IMPORTRANGE(""https://docs.google.com/spreadsheets/d/1XL5vhW3sbDhbH9Cz0tuDiY8C3ctxq1tqvaCgkFb8cCA/edit?usp=sharing"",""ชัยภูมิ!L479"")"),0)</f>
        <v>0</v>
      </c>
      <c r="M584" s="170"/>
      <c r="N584" s="170">
        <f ca="1">IFERROR(__xludf.DUMMYFUNCTION("IMPORTRANGE(""https://docs.google.com/spreadsheets/d/1XL5vhW3sbDhbH9Cz0tuDiY8C3ctxq1tqvaCgkFb8cCA/edit?usp=sharing"",""ชัยภูมิ!M479"")"),0)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IFERROR(__xludf.DUMMYFUNCTION("IMPORTRANGE(""https://docs.google.com/spreadsheets/d/1XL5vhW3sbDhbH9Cz0tuDiY8C3ctxq1tqvaCgkFb8cCA/edit?usp=sharing"",""ชัยภูมิ!M480"")"),0)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IFERROR(__xludf.DUMMYFUNCTION("IMPORTRANGE(""https://docs.google.com/spreadsheets/d/1XL5vhW3sbDhbH9Cz0tuDiY8C3ctxq1tqvaCgkFb8cCA/edit?usp=sharing"",""ชัยภูมิ!M481"")"),0)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IFERROR(__xludf.DUMMYFUNCTION("IMPORTRANGE(""https://docs.google.com/spreadsheets/d/1XL5vhW3sbDhbH9Cz0tuDiY8C3ctxq1tqvaCgkFb8cCA/edit?usp=sharing"",""ชัยภูมิ!M482"")"),0)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IFERROR(__xludf.DUMMYFUNCTION("IMPORTRANGE(""https://docs.google.com/spreadsheets/d/1XL5vhW3sbDhbH9Cz0tuDiY8C3ctxq1tqvaCgkFb8cCA/edit?usp=sharing"",""ชัยภูมิ!M483"")"),0)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IFERROR(__xludf.DUMMYFUNCTION("IMPORTRANGE(""https://docs.google.com/spreadsheets/d/1XL5vhW3sbDhbH9Cz0tuDiY8C3ctxq1tqvaCgkFb8cCA/edit?usp=sharing"",""ชัยภูมิ!I484"")"),0)</f>
        <v>0</v>
      </c>
      <c r="J589" s="189">
        <f ca="1">IFERROR(__xludf.DUMMYFUNCTION("IMPORTRANGE(""https://docs.google.com/spreadsheets/d/1XL5vhW3sbDhbH9Cz0tuDiY8C3ctxq1tqvaCgkFb8cCA/edit?usp=sharing"",""ชัยภูมิ!J484"")"),0)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9">
        <f ca="1">IFERROR(__xludf.DUMMYFUNCTION("IMPORTRANGE(""https://docs.google.com/spreadsheets/d/1XL5vhW3sbDhbH9Cz0tuDiY8C3ctxq1tqvaCgkFb8cCA/edit?usp=sharing"",""ชัยภูมิ!J485"")"),0)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IFERROR(__xludf.DUMMYFUNCTION("IMPORTRANGE(""https://docs.google.com/spreadsheets/d/1XL5vhW3sbDhbH9Cz0tuDiY8C3ctxq1tqvaCgkFb8cCA/edit?usp=sharing"",""ชัยภูมิ!I486"")"),0)</f>
        <v>0</v>
      </c>
      <c r="J591" s="189">
        <f ca="1">IFERROR(__xludf.DUMMYFUNCTION("IMPORTRANGE(""https://docs.google.com/spreadsheets/d/1XL5vhW3sbDhbH9Cz0tuDiY8C3ctxq1tqvaCgkFb8cCA/edit?usp=sharing"",""ชัยภูมิ!J486"")"),21)</f>
        <v>21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9">
        <f ca="1">IFERROR(__xludf.DUMMYFUNCTION("IMPORTRANGE(""https://docs.google.com/spreadsheets/d/1XL5vhW3sbDhbH9Cz0tuDiY8C3ctxq1tqvaCgkFb8cCA/edit?usp=sharing"",""ชัยภูมิ!J487"")"),12)</f>
        <v>12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IFERROR(__xludf.DUMMYFUNCTION("IMPORTRANGE(""https://docs.google.com/spreadsheets/d/1XL5vhW3sbDhbH9Cz0tuDiY8C3ctxq1tqvaCgkFb8cCA/edit?usp=sharing"",""ชัยภูมิ!I488"")"),0)</f>
        <v>0</v>
      </c>
      <c r="J593" s="189">
        <f ca="1">IFERROR(__xludf.DUMMYFUNCTION("IMPORTRANGE(""https://docs.google.com/spreadsheets/d/1XL5vhW3sbDhbH9Cz0tuDiY8C3ctxq1tqvaCgkFb8cCA/edit?usp=sharing"",""ชัยภูมิ!J488"")"),0)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9">
        <f ca="1">IFERROR(__xludf.DUMMYFUNCTION("IMPORTRANGE(""https://docs.google.com/spreadsheets/d/1XL5vhW3sbDhbH9Cz0tuDiY8C3ctxq1tqvaCgkFb8cCA/edit?usp=sharing"",""ชัยภูมิ!J489"")"),0)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IFERROR(__xludf.DUMMYFUNCTION("IMPORTRANGE(""https://docs.google.com/spreadsheets/d/1XL5vhW3sbDhbH9Cz0tuDiY8C3ctxq1tqvaCgkFb8cCA/edit?usp=sharing"",""ชัยภูมิ!I490"")"),0)</f>
        <v>0</v>
      </c>
      <c r="J595" s="189">
        <f ca="1">IFERROR(__xludf.DUMMYFUNCTION("IMPORTRANGE(""https://docs.google.com/spreadsheets/d/1XL5vhW3sbDhbH9Cz0tuDiY8C3ctxq1tqvaCgkFb8cCA/edit?usp=sharing"",""ชัยภูมิ!J490"")"),19)</f>
        <v>19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7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IFERROR(__xludf.DUMMYFUNCTION("IMPORTRANGE(""https://docs.google.com/spreadsheets/d/1XL5vhW3sbDhbH9Cz0tuDiY8C3ctxq1tqvaCgkFb8cCA/edit?usp=sharing"",""ชัยภูมิ!L493"")"),0)</f>
        <v>0</v>
      </c>
      <c r="M598" s="166"/>
      <c r="N598" s="170">
        <f ca="1">IFERROR(__xludf.DUMMYFUNCTION("IMPORTRANGE(""https://docs.google.com/spreadsheets/d/1XL5vhW3sbDhbH9Cz0tuDiY8C3ctxq1tqvaCgkFb8cCA/edit?usp=sharing"",""ชัยภูมิ!M493"")"),0)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IFERROR(__xludf.DUMMYFUNCTION("IMPORTRANGE(""https://docs.google.com/spreadsheets/d/1XL5vhW3sbDhbH9Cz0tuDiY8C3ctxq1tqvaCgkFb8cCA/edit?usp=sharing"",""ชัยภูมิ!L494"")"),7300)</f>
        <v>7300</v>
      </c>
      <c r="M599" s="167"/>
      <c r="N599" s="170">
        <f ca="1">IFERROR(__xludf.DUMMYFUNCTION("IMPORTRANGE(""https://docs.google.com/spreadsheets/d/1XL5vhW3sbDhbH9Cz0tuDiY8C3ctxq1tqvaCgkFb8cCA/edit?usp=sharing"",""ชัยภูมิ!M494"")"),720)</f>
        <v>720</v>
      </c>
      <c r="O599" s="170">
        <f t="shared" ca="1" si="126"/>
        <v>9.8630136986301373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IFERROR(__xludf.DUMMYFUNCTION("IMPORTRANGE(""https://docs.google.com/spreadsheets/d/1XL5vhW3sbDhbH9Cz0tuDiY8C3ctxq1tqvaCgkFb8cCA/edit?usp=sharing"",""ชัยภูมิ!L495"")"),0)</f>
        <v>0</v>
      </c>
      <c r="M600" s="170"/>
      <c r="N600" s="170">
        <f ca="1">IFERROR(__xludf.DUMMYFUNCTION("IMPORTRANGE(""https://docs.google.com/spreadsheets/d/1XL5vhW3sbDhbH9Cz0tuDiY8C3ctxq1tqvaCgkFb8cCA/edit?usp=sharing"",""ชัยภูมิ!M495"")"),0)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IFERROR(__xludf.DUMMYFUNCTION("IMPORTRANGE(""https://docs.google.com/spreadsheets/d/1XL5vhW3sbDhbH9Cz0tuDiY8C3ctxq1tqvaCgkFb8cCA/edit?usp=sharing"",""ชัยภูมิ!L496"")"),7300)</f>
        <v>7300</v>
      </c>
      <c r="M601" s="170"/>
      <c r="N601" s="170">
        <f ca="1">IFERROR(__xludf.DUMMYFUNCTION("IMPORTRANGE(""https://docs.google.com/spreadsheets/d/1XL5vhW3sbDhbH9Cz0tuDiY8C3ctxq1tqvaCgkFb8cCA/edit?usp=sharing"",""ชัยภูมิ!M496"")"),720)</f>
        <v>720</v>
      </c>
      <c r="O601" s="170">
        <f t="shared" ca="1" si="126"/>
        <v>9.8630136986301373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IFERROR(__xludf.DUMMYFUNCTION("IMPORTRANGE(""https://docs.google.com/spreadsheets/d/1XL5vhW3sbDhbH9Cz0tuDiY8C3ctxq1tqvaCgkFb8cCA/edit?usp=sharing"",""ชัยภูมิ!M497"")"),0)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IFERROR(__xludf.DUMMYFUNCTION("IMPORTRANGE(""https://docs.google.com/spreadsheets/d/1XL5vhW3sbDhbH9Cz0tuDiY8C3ctxq1tqvaCgkFb8cCA/edit?usp=sharing"",""ชัยภูมิ!M498"")"),0)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IFERROR(__xludf.DUMMYFUNCTION("IMPORTRANGE(""https://docs.google.com/spreadsheets/d/1XL5vhW3sbDhbH9Cz0tuDiY8C3ctxq1tqvaCgkFb8cCA/edit?usp=sharing"",""ชัยภูมิ!J502"")"),0)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IFERROR(__xludf.DUMMYFUNCTION("IMPORTRANGE(""https://docs.google.com/spreadsheets/d/1XL5vhW3sbDhbH9Cz0tuDiY8C3ctxq1tqvaCgkFb8cCA/edit?usp=sharing"",""ชัยภูมิ!J503"")"),1)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IFERROR(__xludf.DUMMYFUNCTION("IMPORTRANGE(""https://docs.google.com/spreadsheets/d/1XL5vhW3sbDhbH9Cz0tuDiY8C3ctxq1tqvaCgkFb8cCA/edit?usp=sharing"",""ชัยภูมิ!I506"")"),100)</f>
        <v>100</v>
      </c>
      <c r="J611" s="164">
        <f ca="1">IFERROR(__xludf.DUMMYFUNCTION("IMPORTRANGE(""https://docs.google.com/spreadsheets/d/1XL5vhW3sbDhbH9Cz0tuDiY8C3ctxq1tqvaCgkFb8cCA/edit?usp=sharing"",""ชัยภูมิ!J506"")"),0)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IFERROR(__xludf.DUMMYFUNCTION("IMPORTRANGE(""https://docs.google.com/spreadsheets/d/1XL5vhW3sbDhbH9Cz0tuDiY8C3ctxq1tqvaCgkFb8cCA/edit?usp=sharing"",""ชัยภูมิ!I507"")"),0)</f>
        <v>0</v>
      </c>
      <c r="J612" s="199">
        <f ca="1">IFERROR(__xludf.DUMMYFUNCTION("IMPORTRANGE(""https://docs.google.com/spreadsheets/d/1XL5vhW3sbDhbH9Cz0tuDiY8C3ctxq1tqvaCgkFb8cCA/edit?usp=sharing"",""ชัยภูมิ!J507"")"),0)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IFERROR(__xludf.DUMMYFUNCTION("IMPORTRANGE(""https://docs.google.com/spreadsheets/d/1XL5vhW3sbDhbH9Cz0tuDiY8C3ctxq1tqvaCgkFb8cCA/edit?usp=sharing"",""ชัยภูมิ!I508"")"),0)</f>
        <v>0</v>
      </c>
      <c r="J613" s="199">
        <f ca="1">IFERROR(__xludf.DUMMYFUNCTION("IMPORTRANGE(""https://docs.google.com/spreadsheets/d/1XL5vhW3sbDhbH9Cz0tuDiY8C3ctxq1tqvaCgkFb8cCA/edit?usp=sharing"",""ชัยภูมิ!J508"")"),0)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IFERROR(__xludf.DUMMYFUNCTION("IMPORTRANGE(""https://docs.google.com/spreadsheets/d/1XL5vhW3sbDhbH9Cz0tuDiY8C3ctxq1tqvaCgkFb8cCA/edit?usp=sharing"",""ชัยภูมิ!I509"")"),0)</f>
        <v>0</v>
      </c>
      <c r="J614" s="199">
        <f ca="1">IFERROR(__xludf.DUMMYFUNCTION("IMPORTRANGE(""https://docs.google.com/spreadsheets/d/1XL5vhW3sbDhbH9Cz0tuDiY8C3ctxq1tqvaCgkFb8cCA/edit?usp=sharing"",""ชัยภูมิ!J509"")"),0)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IFERROR(__xludf.DUMMYFUNCTION("IMPORTRANGE(""https://docs.google.com/spreadsheets/d/1XL5vhW3sbDhbH9Cz0tuDiY8C3ctxq1tqvaCgkFb8cCA/edit?usp=sharing"",""ชัยภูมิ!I510"")"),0)</f>
        <v>0</v>
      </c>
      <c r="J615" s="199">
        <f ca="1">IFERROR(__xludf.DUMMYFUNCTION("IMPORTRANGE(""https://docs.google.com/spreadsheets/d/1XL5vhW3sbDhbH9Cz0tuDiY8C3ctxq1tqvaCgkFb8cCA/edit?usp=sharing"",""ชัยภูมิ!J510"")"),0)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IFERROR(__xludf.DUMMYFUNCTION("IMPORTRANGE(""https://docs.google.com/spreadsheets/d/1XL5vhW3sbDhbH9Cz0tuDiY8C3ctxq1tqvaCgkFb8cCA/edit?usp=sharing"",""ชัยภูมิ!I511"")"),0)</f>
        <v>0</v>
      </c>
      <c r="J616" s="199">
        <f ca="1">IFERROR(__xludf.DUMMYFUNCTION("IMPORTRANGE(""https://docs.google.com/spreadsheets/d/1XL5vhW3sbDhbH9Cz0tuDiY8C3ctxq1tqvaCgkFb8cCA/edit?usp=sharing"",""ชัยภูมิ!J511"")"),0)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IFERROR(__xludf.DUMMYFUNCTION("IMPORTRANGE(""https://docs.google.com/spreadsheets/d/1XL5vhW3sbDhbH9Cz0tuDiY8C3ctxq1tqvaCgkFb8cCA/edit?usp=sharing"",""ชัยภูมิ!I512"")"),0)</f>
        <v>0</v>
      </c>
      <c r="J617" s="189">
        <f ca="1">IFERROR(__xludf.DUMMYFUNCTION("IMPORTRANGE(""https://docs.google.com/spreadsheets/d/1XL5vhW3sbDhbH9Cz0tuDiY8C3ctxq1tqvaCgkFb8cCA/edit?usp=sharing"",""ชัยภูมิ!J512"")"),0)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IFERROR(__xludf.DUMMYFUNCTION("IMPORTRANGE(""https://docs.google.com/spreadsheets/d/1XL5vhW3sbDhbH9Cz0tuDiY8C3ctxq1tqvaCgkFb8cCA/edit?usp=sharing"",""ชัยภูมิ!I513"")"),0)</f>
        <v>0</v>
      </c>
      <c r="J618" s="190">
        <f ca="1">IFERROR(__xludf.DUMMYFUNCTION("IMPORTRANGE(""https://docs.google.com/spreadsheets/d/1XL5vhW3sbDhbH9Cz0tuDiY8C3ctxq1tqvaCgkFb8cCA/edit?usp=sharing"",""ชัยภูมิ!J513"")"),0)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IFERROR(__xludf.DUMMYFUNCTION("IMPORTRANGE(""https://docs.google.com/spreadsheets/d/1XL5vhW3sbDhbH9Cz0tuDiY8C3ctxq1tqvaCgkFb8cCA/edit?usp=sharing"",""ชัยภูมิ!I514"")"),0)</f>
        <v>0</v>
      </c>
      <c r="J619" s="190">
        <f ca="1">IFERROR(__xludf.DUMMYFUNCTION("IMPORTRANGE(""https://docs.google.com/spreadsheets/d/1XL5vhW3sbDhbH9Cz0tuDiY8C3ctxq1tqvaCgkFb8cCA/edit?usp=sharing"",""ชัยภูมิ!J514"")"),0)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IFERROR(__xludf.DUMMYFUNCTION("IMPORTRANGE(""https://docs.google.com/spreadsheets/d/1XL5vhW3sbDhbH9Cz0tuDiY8C3ctxq1tqvaCgkFb8cCA/edit?usp=sharing"",""ชัยภูมิ!I515"")"),0)</f>
        <v>0</v>
      </c>
      <c r="J620" s="204">
        <f ca="1">IFERROR(__xludf.DUMMYFUNCTION("IMPORTRANGE(""https://docs.google.com/spreadsheets/d/1XL5vhW3sbDhbH9Cz0tuDiY8C3ctxq1tqvaCgkFb8cCA/edit?usp=sharing"",""ชัยภูมิ!J515"")"),0)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IFERROR(__xludf.DUMMYFUNCTION("IMPORTRANGE(""https://docs.google.com/spreadsheets/d/1XL5vhW3sbDhbH9Cz0tuDiY8C3ctxq1tqvaCgkFb8cCA/edit?usp=sharing"",""ชัยภูมิ!I516"")"),0)</f>
        <v>0</v>
      </c>
      <c r="J621" s="204">
        <f ca="1">IFERROR(__xludf.DUMMYFUNCTION("IMPORTRANGE(""https://docs.google.com/spreadsheets/d/1XL5vhW3sbDhbH9Cz0tuDiY8C3ctxq1tqvaCgkFb8cCA/edit?usp=sharing"",""ชัยภูมิ!J516"")"),0)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IFERROR(__xludf.DUMMYFUNCTION("IMPORTRANGE(""https://docs.google.com/spreadsheets/d/1XL5vhW3sbDhbH9Cz0tuDiY8C3ctxq1tqvaCgkFb8cCA/edit?usp=sharing"",""ชัยภูมิ!I517"")"),0)</f>
        <v>0</v>
      </c>
      <c r="J622" s="190">
        <f ca="1">IFERROR(__xludf.DUMMYFUNCTION("IMPORTRANGE(""https://docs.google.com/spreadsheets/d/1XL5vhW3sbDhbH9Cz0tuDiY8C3ctxq1tqvaCgkFb8cCA/edit?usp=sharing"",""ชัยภูมิ!J517"")"),0)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IFERROR(__xludf.DUMMYFUNCTION("IMPORTRANGE(""https://docs.google.com/spreadsheets/d/1XL5vhW3sbDhbH9Cz0tuDiY8C3ctxq1tqvaCgkFb8cCA/edit?usp=sharing"",""ชัยภูมิ!I518"")"),0)</f>
        <v>0</v>
      </c>
      <c r="J623" s="190">
        <f ca="1">IFERROR(__xludf.DUMMYFUNCTION("IMPORTRANGE(""https://docs.google.com/spreadsheets/d/1XL5vhW3sbDhbH9Cz0tuDiY8C3ctxq1tqvaCgkFb8cCA/edit?usp=sharing"",""ชัยภูมิ!J518"")"),0)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IFERROR(__xludf.DUMMYFUNCTION("IMPORTRANGE(""https://docs.google.com/spreadsheets/d/1XL5vhW3sbDhbH9Cz0tuDiY8C3ctxq1tqvaCgkFb8cCA/edit?usp=sharing"",""ชัยภูมิ!I519"")"),0)</f>
        <v>0</v>
      </c>
      <c r="J624" s="189">
        <f ca="1">IFERROR(__xludf.DUMMYFUNCTION("IMPORTRANGE(""https://docs.google.com/spreadsheets/d/1XL5vhW3sbDhbH9Cz0tuDiY8C3ctxq1tqvaCgkFb8cCA/edit?usp=sharing"",""ชัยภูมิ!J519"")"),0)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IFERROR(__xludf.DUMMYFUNCTION("IMPORTRANGE(""https://docs.google.com/spreadsheets/d/1XL5vhW3sbDhbH9Cz0tuDiY8C3ctxq1tqvaCgkFb8cCA/edit?usp=sharing"",""ชัยภูมิ!I520"")"),0)</f>
        <v>0</v>
      </c>
      <c r="J625" s="190">
        <f ca="1">IFERROR(__xludf.DUMMYFUNCTION("IMPORTRANGE(""https://docs.google.com/spreadsheets/d/1XL5vhW3sbDhbH9Cz0tuDiY8C3ctxq1tqvaCgkFb8cCA/edit?usp=sharing"",""ชัยภูมิ!J520"")"),0)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IFERROR(__xludf.DUMMYFUNCTION("IMPORTRANGE(""https://docs.google.com/spreadsheets/d/1XL5vhW3sbDhbH9Cz0tuDiY8C3ctxq1tqvaCgkFb8cCA/edit?usp=sharing"",""ชัยภูมิ!I521"")"),0)</f>
        <v>0</v>
      </c>
      <c r="J626" s="190">
        <f ca="1">IFERROR(__xludf.DUMMYFUNCTION("IMPORTRANGE(""https://docs.google.com/spreadsheets/d/1XL5vhW3sbDhbH9Cz0tuDiY8C3ctxq1tqvaCgkFb8cCA/edit?usp=sharing"",""ชัยภูมิ!J521"")"),0)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IFERROR(__xludf.DUMMYFUNCTION("IMPORTRANGE(""https://docs.google.com/spreadsheets/d/1XL5vhW3sbDhbH9Cz0tuDiY8C3ctxq1tqvaCgkFb8cCA/edit?usp=sharing"",""ชัยภูมิ!I523"")"),4000000)</f>
        <v>4000000</v>
      </c>
      <c r="J628" s="341">
        <f ca="1">IFERROR(__xludf.DUMMYFUNCTION("IMPORTRANGE(""https://docs.google.com/spreadsheets/d/1XL5vhW3sbDhbH9Cz0tuDiY8C3ctxq1tqvaCgkFb8cCA/edit?usp=sharing"",""ชัยภูมิ!J523"")"),1560000)</f>
        <v>1560000</v>
      </c>
      <c r="K628" s="342">
        <f t="shared" ref="K628:K635" ca="1" si="129">IF(I628&gt;0,J628*100/I628,0)</f>
        <v>39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IFERROR(__xludf.DUMMYFUNCTION("IMPORTRANGE(""https://docs.google.com/spreadsheets/d/1XL5vhW3sbDhbH9Cz0tuDiY8C3ctxq1tqvaCgkFb8cCA/edit?usp=sharing"",""ชัยภูมิ!I524"")"),129)</f>
        <v>129</v>
      </c>
      <c r="J629" s="341">
        <f ca="1">IFERROR(__xludf.DUMMYFUNCTION("IMPORTRANGE(""https://docs.google.com/spreadsheets/d/1XL5vhW3sbDhbH9Cz0tuDiY8C3ctxq1tqvaCgkFb8cCA/edit?usp=sharing"",""ชัยภูมิ!J524"")"),51)</f>
        <v>51</v>
      </c>
      <c r="K629" s="342">
        <f t="shared" ca="1" si="129"/>
        <v>39.534883720930232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1">
        <f ca="1">IFERROR(__xludf.DUMMYFUNCTION("IMPORTRANGE(""https://docs.google.com/spreadsheets/d/1XL5vhW3sbDhbH9Cz0tuDiY8C3ctxq1tqvaCgkFb8cCA/edit?usp=sharing"",""ชัยภูมิ!J525"")"),216447.57)</f>
        <v>216447.57</v>
      </c>
      <c r="K630" s="342">
        <f t="shared" ca="1" si="129"/>
        <v>2.6305462997953923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IFERROR(__xludf.DUMMYFUNCTION("IMPORTRANGE(""https://docs.google.com/spreadsheets/d/1XL5vhW3sbDhbH9Cz0tuDiY8C3ctxq1tqvaCgkFb8cCA/edit?usp=sharing"",""ชัยภูมิ!I526"")"),358)</f>
        <v>358</v>
      </c>
      <c r="J631" s="341">
        <f ca="1">IFERROR(__xludf.DUMMYFUNCTION("IMPORTRANGE(""https://docs.google.com/spreadsheets/d/1XL5vhW3sbDhbH9Cz0tuDiY8C3ctxq1tqvaCgkFb8cCA/edit?usp=sharing"",""ชัยภูมิ!J526"")"),45)</f>
        <v>45</v>
      </c>
      <c r="K631" s="342">
        <f t="shared" ca="1" si="129"/>
        <v>12.569832402234637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IFERROR(__xludf.DUMMYFUNCTION("IMPORTRANGE(""https://docs.google.com/spreadsheets/d/1XL5vhW3sbDhbH9Cz0tuDiY8C3ctxq1tqvaCgkFb8cCA/edit?usp=sharing"",""ชัยภูมิ!I527"")"),893351.91)</f>
        <v>893351.91</v>
      </c>
      <c r="J632" s="341">
        <f ca="1">IFERROR(__xludf.DUMMYFUNCTION("IMPORTRANGE(""https://docs.google.com/spreadsheets/d/1XL5vhW3sbDhbH9Cz0tuDiY8C3ctxq1tqvaCgkFb8cCA/edit?usp=sharing"",""ชัยภูมิ!J527"")"),410077.24)</f>
        <v>410077.24</v>
      </c>
      <c r="K632" s="342">
        <f t="shared" ca="1" si="129"/>
        <v>45.903214109655842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IFERROR(__xludf.DUMMYFUNCTION("IMPORTRANGE(""https://docs.google.com/spreadsheets/d/1XL5vhW3sbDhbH9Cz0tuDiY8C3ctxq1tqvaCgkFb8cCA/edit?usp=sharing"",""ชัยภูมิ!I528"")"),9)</f>
        <v>9</v>
      </c>
      <c r="J633" s="341">
        <f ca="1">IFERROR(__xludf.DUMMYFUNCTION("IMPORTRANGE(""https://docs.google.com/spreadsheets/d/1XL5vhW3sbDhbH9Cz0tuDiY8C3ctxq1tqvaCgkFb8cCA/edit?usp=sharing"",""ชัยภูมิ!J528"")"),9)</f>
        <v>9</v>
      </c>
      <c r="K633" s="342">
        <f t="shared" ca="1" si="129"/>
        <v>100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IFERROR(__xludf.DUMMYFUNCTION("IMPORTRANGE(""https://docs.google.com/spreadsheets/d/1XL5vhW3sbDhbH9Cz0tuDiY8C3ctxq1tqvaCgkFb8cCA/edit?usp=sharing"",""ชัยภูมิ!I529"")"),3000000)</f>
        <v>3000000</v>
      </c>
      <c r="J634" s="341">
        <f ca="1">IFERROR(__xludf.DUMMYFUNCTION("IMPORTRANGE(""https://docs.google.com/spreadsheets/d/1XL5vhW3sbDhbH9Cz0tuDiY8C3ctxq1tqvaCgkFb8cCA/edit?usp=sharing"",""ชัยภูมิ!J529"")"),1410000)</f>
        <v>1410000</v>
      </c>
      <c r="K634" s="342">
        <f t="shared" ca="1" si="129"/>
        <v>47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IFERROR(__xludf.DUMMYFUNCTION("IMPORTRANGE(""https://docs.google.com/spreadsheets/d/1XL5vhW3sbDhbH9Cz0tuDiY8C3ctxq1tqvaCgkFb8cCA/edit?usp=sharing"",""ชัยภูมิ!I530"")"),100)</f>
        <v>100</v>
      </c>
      <c r="J635" s="504">
        <f ca="1">IFERROR(__xludf.DUMMYFUNCTION("IMPORTRANGE(""https://docs.google.com/spreadsheets/d/1XL5vhW3sbDhbH9Cz0tuDiY8C3ctxq1tqvaCgkFb8cCA/edit?usp=sharing"",""ชัยภูมิ!J530"")"),45)</f>
        <v>45</v>
      </c>
      <c r="K635" s="486">
        <f t="shared" ca="1" si="129"/>
        <v>45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411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244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5985654</v>
      </c>
      <c r="M8" s="23">
        <f t="shared" ca="1" si="0"/>
        <v>2602865</v>
      </c>
      <c r="N8" s="23">
        <f t="shared" ca="1" si="0"/>
        <v>1640171.81</v>
      </c>
      <c r="O8" s="22">
        <f t="shared" ref="O8:O16" ca="1" si="1">IF(L8&gt;0,N8*100/L8,0)</f>
        <v>27.401714332301868</v>
      </c>
      <c r="P8" s="22">
        <f t="shared" ref="P8:P16" ca="1" si="2">IF(M8&gt;0,N8*100/M8,0)</f>
        <v>63.014094468979373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5985654</v>
      </c>
      <c r="M10" s="30">
        <f t="shared" ca="1" si="4"/>
        <v>2602865</v>
      </c>
      <c r="N10" s="30">
        <f t="shared" ca="1" si="4"/>
        <v>1640171.81</v>
      </c>
      <c r="O10" s="29">
        <f t="shared" ca="1" si="1"/>
        <v>27.401714332301868</v>
      </c>
      <c r="P10" s="29">
        <f t="shared" ca="1" si="2"/>
        <v>63.014094468979373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4983954</v>
      </c>
      <c r="M12" s="38">
        <f t="shared" ca="1" si="6"/>
        <v>1601165</v>
      </c>
      <c r="N12" s="38">
        <f t="shared" ca="1" si="6"/>
        <v>1448871.81</v>
      </c>
      <c r="O12" s="38">
        <f t="shared" ca="1" si="1"/>
        <v>29.070729986673232</v>
      </c>
      <c r="P12" s="38">
        <f t="shared" ca="1" si="2"/>
        <v>90.488601112315095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3231054</v>
      </c>
      <c r="M14" s="38">
        <f t="shared" si="8"/>
        <v>0</v>
      </c>
      <c r="N14" s="38">
        <f t="shared" ca="1" si="8"/>
        <v>385621.81000000006</v>
      </c>
      <c r="O14" s="38">
        <f t="shared" ca="1" si="1"/>
        <v>11.934861193901435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1001700</v>
      </c>
      <c r="M16" s="38">
        <f t="shared" ca="1" si="10"/>
        <v>1001700</v>
      </c>
      <c r="N16" s="38">
        <f t="shared" ca="1" si="10"/>
        <v>191300</v>
      </c>
      <c r="O16" s="49">
        <f t="shared" ca="1" si="1"/>
        <v>19.097534191873816</v>
      </c>
      <c r="P16" s="49">
        <f t="shared" ca="1" si="2"/>
        <v>19.097534191873816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3949295</v>
      </c>
      <c r="M18" s="23">
        <f t="shared" ca="1" si="11"/>
        <v>2602865</v>
      </c>
      <c r="N18" s="23">
        <f t="shared" ca="1" si="11"/>
        <v>1254550</v>
      </c>
      <c r="O18" s="22">
        <f t="shared" ref="O18:O20" ca="1" si="12">IF(L18&gt;0,N18*100/L18,0)</f>
        <v>31.766429198122704</v>
      </c>
      <c r="P18" s="22">
        <f t="shared" ref="P18:P26" ca="1" si="13">IF(M18&gt;0,N18*100/M18,0)</f>
        <v>48.198811694037147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3949295</v>
      </c>
      <c r="M20" s="30">
        <f t="shared" ca="1" si="15"/>
        <v>2602865</v>
      </c>
      <c r="N20" s="30">
        <f t="shared" ca="1" si="15"/>
        <v>1254550</v>
      </c>
      <c r="O20" s="29">
        <f t="shared" ca="1" si="12"/>
        <v>31.766429198122704</v>
      </c>
      <c r="P20" s="29">
        <f t="shared" ca="1" si="13"/>
        <v>48.198811694037147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2947595</v>
      </c>
      <c r="M22" s="41">
        <f t="shared" ca="1" si="18"/>
        <v>1601165</v>
      </c>
      <c r="N22" s="38">
        <f t="shared" ca="1" si="18"/>
        <v>1063250</v>
      </c>
      <c r="O22" s="38">
        <f t="shared" ca="1" si="17"/>
        <v>36.071780553298538</v>
      </c>
      <c r="P22" s="38">
        <f t="shared" ca="1" si="13"/>
        <v>66.404774023913831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1194695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1001700</v>
      </c>
      <c r="M26" s="49">
        <f t="shared" ca="1" si="22"/>
        <v>1001700</v>
      </c>
      <c r="N26" s="49">
        <f t="shared" ca="1" si="22"/>
        <v>191300</v>
      </c>
      <c r="O26" s="49">
        <f t="shared" ca="1" si="17"/>
        <v>19.097534191873816</v>
      </c>
      <c r="P26" s="49">
        <f t="shared" ca="1" si="13"/>
        <v>19.097534191873816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385621.81000000006</v>
      </c>
      <c r="O28" s="22">
        <f t="shared" ref="O28:O30" ca="1" si="24">IF(L28&gt;0,N28*100/L28,0)</f>
        <v>18.936828427600442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385621.81000000006</v>
      </c>
      <c r="O30" s="29">
        <f t="shared" ca="1" si="24"/>
        <v>18.936828427600442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385621.81000000006</v>
      </c>
      <c r="O32" s="38">
        <f t="shared" ca="1" si="29"/>
        <v>18.936828427600442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385621.81000000006</v>
      </c>
      <c r="O34" s="38">
        <f t="shared" ca="1" si="29"/>
        <v>18.936828427600442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3949295</v>
      </c>
      <c r="M37" s="54">
        <f t="shared" ca="1" si="33"/>
        <v>2602865</v>
      </c>
      <c r="N37" s="54">
        <f t="shared" ca="1" si="33"/>
        <v>1254550</v>
      </c>
      <c r="O37" s="55">
        <f t="shared" ca="1" si="29"/>
        <v>31.766429198122704</v>
      </c>
      <c r="P37" s="55">
        <f t="shared" ca="1" si="25"/>
        <v>48.198811694037147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1441100</v>
      </c>
      <c r="M41" s="78">
        <f t="shared" ca="1" si="34"/>
        <v>1125500</v>
      </c>
      <c r="N41" s="78">
        <f t="shared" ca="1" si="34"/>
        <v>264376</v>
      </c>
      <c r="O41" s="77">
        <f t="shared" ref="O41:O43" ca="1" si="35">IF(L41&gt;0,N41*100/L41,0)</f>
        <v>18.345430573867183</v>
      </c>
      <c r="P41" s="77">
        <f t="shared" ref="P41:P43" ca="1" si="36">IF(M41&gt;0,N41*100/M41,0)</f>
        <v>23.489649044868948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1441100</v>
      </c>
      <c r="M43" s="78">
        <f t="shared" ca="1" si="38"/>
        <v>1125500</v>
      </c>
      <c r="N43" s="78">
        <f t="shared" ca="1" si="38"/>
        <v>264376</v>
      </c>
      <c r="O43" s="77">
        <f t="shared" ca="1" si="35"/>
        <v>18.345430573867183</v>
      </c>
      <c r="P43" s="77">
        <f t="shared" ca="1" si="36"/>
        <v>23.489649044868948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IFERROR(__xludf.DUMMYFUNCTION("IMPORTRANGE(""https://docs.google.com/spreadsheets/d/1Yj_ptqi66GCucihVvJfMjLAmec39IyEx_6qawtMGysU/edit?usp=sharing"",""สบก!Q41"")"),315500)</f>
        <v>315500</v>
      </c>
      <c r="N45" s="49">
        <f ca="1">IFERROR(__xludf.DUMMYFUNCTION("IMPORTRANGE(""https://docs.google.com/spreadsheets/d/1Yj_ptqi66GCucihVvJfMjLAmec39IyEx_6qawtMGysU/edit?usp=sharing"",""สบก!R41"")"),264376)</f>
        <v>264376</v>
      </c>
      <c r="O45" s="38">
        <f ca="1">IF(L45&gt;0,N45*100/L45,0)</f>
        <v>41.891300903184913</v>
      </c>
      <c r="P45" s="38">
        <f ca="1">IF(M45&gt;0,N45*100/M45,0)</f>
        <v>83.795879556259905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IFERROR(__xludf.DUMMYFUNCTION("IMPORTRANGE(""https://docs.google.com/spreadsheets/d/1Yj_ptqi66GCucihVvJfMjLAmec39IyEx_6qawtMGysU/edit?usp=sharing"",""สบก!O41"")"),810000)</f>
        <v>810000</v>
      </c>
      <c r="M49" s="49">
        <f ca="1">L49</f>
        <v>810000</v>
      </c>
      <c r="N49" s="49">
        <f ca="1">IFERROR(__xludf.DUMMYFUNCTION("IMPORTRANGE(""https://docs.google.com/spreadsheets/d/1Yj_ptqi66GCucihVvJfMjLAmec39IyEx_6qawtMGysU/edit?usp=sharing"",""สบก!S41"")"),0)</f>
        <v>0</v>
      </c>
      <c r="O49" s="49">
        <f ca="1">IF(L49&gt;0,N49*100/L49,0)</f>
        <v>0</v>
      </c>
      <c r="P49" s="49">
        <f ca="1">IF(M49&gt;0,N49*100/M49,0)</f>
        <v>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216340</v>
      </c>
      <c r="N53" s="121">
        <f t="shared" ca="1" si="39"/>
        <v>210738</v>
      </c>
      <c r="O53" s="120">
        <f t="shared" ref="O53:O55" ca="1" si="40">IF(L53&gt;0,N53*100/L53,0)</f>
        <v>51.050872093023258</v>
      </c>
      <c r="P53" s="120">
        <f t="shared" ref="P53:P55" ca="1" si="41">IF(M53&gt;0,N53*100/M53,0)</f>
        <v>97.410557455856519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216340</v>
      </c>
      <c r="N55" s="121">
        <f t="shared" ca="1" si="43"/>
        <v>210738</v>
      </c>
      <c r="O55" s="120">
        <f t="shared" ca="1" si="40"/>
        <v>51.050872093023258</v>
      </c>
      <c r="P55" s="120">
        <f t="shared" ca="1" si="41"/>
        <v>97.410557455856519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IFERROR(__xludf.DUMMYFUNCTION("IMPORTRANGE(""https://docs.google.com/spreadsheets/d/1Yj_ptqi66GCucihVvJfMjLAmec39IyEx_6qawtMGysU/edit?usp=sharing"",""สบก!Z41"")"),216340)</f>
        <v>216340</v>
      </c>
      <c r="N57" s="49">
        <f ca="1">IFERROR(__xludf.DUMMYFUNCTION("IMPORTRANGE(""https://docs.google.com/spreadsheets/d/1Yj_ptqi66GCucihVvJfMjLAmec39IyEx_6qawtMGysU/edit?usp=sharing"",""สบก!AA41"")"),210738)</f>
        <v>210738</v>
      </c>
      <c r="O57" s="38">
        <f ca="1">IF(L57&gt;0,N57*100/L57,0)</f>
        <v>51.050872093023258</v>
      </c>
      <c r="P57" s="38">
        <f ca="1">IF(M57&gt;0,N57*100/M57,0)</f>
        <v>97.410557455856519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373720</v>
      </c>
      <c r="N66" s="152">
        <f t="shared" ca="1" si="45"/>
        <v>204252</v>
      </c>
      <c r="O66" s="151">
        <f t="shared" ref="O66:O68" ca="1" si="46">IF(L66&gt;0,N66*100/L66,0)</f>
        <v>30.295461287451793</v>
      </c>
      <c r="P66" s="151">
        <f t="shared" ref="P66:P68" ca="1" si="47">IF(M66&gt;0,N66*100/M66,0)</f>
        <v>54.653751471690036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373720</v>
      </c>
      <c r="N68" s="157">
        <f t="shared" ca="1" si="49"/>
        <v>204252</v>
      </c>
      <c r="O68" s="156">
        <f t="shared" ca="1" si="46"/>
        <v>30.295461287451793</v>
      </c>
      <c r="P68" s="156">
        <f t="shared" ca="1" si="47"/>
        <v>54.653751471690036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674200</v>
      </c>
      <c r="M70" s="169">
        <f ca="1">IFERROR(__xludf.DUMMYFUNCTION("IMPORTRANGE(""https://docs.google.com/spreadsheets/d/1Yj_ptqi66GCucihVvJfMjLAmec39IyEx_6qawtMGysU/edit?usp=sharing"",""สบก!AI41"")"),373720)</f>
        <v>373720</v>
      </c>
      <c r="N70" s="170">
        <f ca="1">IFERROR(__xludf.DUMMYFUNCTION("IMPORTRANGE(""https://docs.google.com/spreadsheets/d/1Yj_ptqi66GCucihVvJfMjLAmec39IyEx_6qawtMGysU/edit?usp=sharing"",""สบก!AJ41"")"),204252)</f>
        <v>204252</v>
      </c>
      <c r="O70" s="170">
        <f ca="1">IF(L70&gt;0,N70*100/L70,0)</f>
        <v>30.295461287451793</v>
      </c>
      <c r="P70" s="170">
        <f ca="1">IF(M70&gt;0,N70*100/M70,0)</f>
        <v>54.653751471690036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IFERROR(__xludf.DUMMYFUNCTION("IMPORTRANGE(""https://docs.google.com/spreadsheets/d/1Yj_ptqi66GCucihVvJfMjLAmec39IyEx_6qawtMGysU/edit?usp=sharing"",""สบก!AE41"")"),188200)</f>
        <v>188200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IFERROR(__xludf.DUMMYFUNCTION("IMPORTRANGE(""https://docs.google.com/spreadsheets/d/1Yj_ptqi66GCucihVvJfMjLAmec39IyEx_6qawtMGysU/edit?usp=sharing"",""สบก!AF41"")"),486000)</f>
        <v>486000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IFERROR(__xludf.DUMMYFUNCTION("IMPORTRANGE(""https://docs.google.com/spreadsheets/d/1XL5vhW3sbDhbH9Cz0tuDiY8C3ctxq1tqvaCgkFb8cCA/edit?usp=sharing"",""นครพนม!J16"")"),0)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IFERROR(__xludf.DUMMYFUNCTION("IMPORTRANGE(""https://docs.google.com/spreadsheets/d/1XL5vhW3sbDhbH9Cz0tuDiY8C3ctxq1tqvaCgkFb8cCA/edit?usp=sharing"",""นครพนม!J17"")"),1)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IFERROR(__xludf.DUMMYFUNCTION("IMPORTRANGE(""https://docs.google.com/spreadsheets/d/1XL5vhW3sbDhbH9Cz0tuDiY8C3ctxq1tqvaCgkFb8cCA/edit?usp=sharing"",""นครพนม!J18"")"),1)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IFERROR(__xludf.DUMMYFUNCTION("IMPORTRANGE(""https://docs.google.com/spreadsheets/d/1XL5vhW3sbDhbH9Cz0tuDiY8C3ctxq1tqvaCgkFb8cCA/edit?usp=sharing"",""นครพนม!J19"")"),1)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IFERROR(__xludf.DUMMYFUNCTION("IMPORTRANGE(""https://docs.google.com/spreadsheets/d/1XL5vhW3sbDhbH9Cz0tuDiY8C3ctxq1tqvaCgkFb8cCA/edit?usp=sharing"",""นครพนม!I20"")"),1)</f>
        <v>1</v>
      </c>
      <c r="J80" s="202">
        <f ca="1">IFERROR(__xludf.DUMMYFUNCTION("IMPORTRANGE(""https://docs.google.com/spreadsheets/d/1XL5vhW3sbDhbH9Cz0tuDiY8C3ctxq1tqvaCgkFb8cCA/edit?usp=sharing"",""นครพนม!J20"")"),1)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IFERROR(__xludf.DUMMYFUNCTION("IMPORTRANGE(""https://docs.google.com/spreadsheets/d/1XL5vhW3sbDhbH9Cz0tuDiY8C3ctxq1tqvaCgkFb8cCA/edit?usp=sharing"",""นครพนม!I21"")"),50)</f>
        <v>50</v>
      </c>
      <c r="J81" s="202">
        <f ca="1">IFERROR(__xludf.DUMMYFUNCTION("IMPORTRANGE(""https://docs.google.com/spreadsheets/d/1XL5vhW3sbDhbH9Cz0tuDiY8C3ctxq1tqvaCgkFb8cCA/edit?usp=sharing"",""นครพนม!J21"")"),50)</f>
        <v>50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IFERROR(__xludf.DUMMYFUNCTION("IMPORTRANGE(""https://docs.google.com/spreadsheets/d/1XL5vhW3sbDhbH9Cz0tuDiY8C3ctxq1tqvaCgkFb8cCA/edit?usp=sharing"",""นครพนม!I22"")"),0)</f>
        <v>0</v>
      </c>
      <c r="J82" s="205">
        <f ca="1">IFERROR(__xludf.DUMMYFUNCTION("IMPORTRANGE(""https://docs.google.com/spreadsheets/d/1XL5vhW3sbDhbH9Cz0tuDiY8C3ctxq1tqvaCgkFb8cCA/edit?usp=sharing"",""นครพนม!J22"")"),0)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IFERROR(__xludf.DUMMYFUNCTION("IMPORTRANGE(""https://docs.google.com/spreadsheets/d/1XL5vhW3sbDhbH9Cz0tuDiY8C3ctxq1tqvaCgkFb8cCA/edit?usp=sharing"",""นครพนม!I23"")"),0)</f>
        <v>0</v>
      </c>
      <c r="J83" s="205">
        <f ca="1">IFERROR(__xludf.DUMMYFUNCTION("IMPORTRANGE(""https://docs.google.com/spreadsheets/d/1XL5vhW3sbDhbH9Cz0tuDiY8C3ctxq1tqvaCgkFb8cCA/edit?usp=sharing"",""นครพนม!J23"")"),0)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IFERROR(__xludf.DUMMYFUNCTION("IMPORTRANGE(""https://docs.google.com/spreadsheets/d/1XL5vhW3sbDhbH9Cz0tuDiY8C3ctxq1tqvaCgkFb8cCA/edit?usp=sharing"",""นครพนม!I24"")"),1)</f>
        <v>1</v>
      </c>
      <c r="J84" s="190">
        <f ca="1">IFERROR(__xludf.DUMMYFUNCTION("IMPORTRANGE(""https://docs.google.com/spreadsheets/d/1XL5vhW3sbDhbH9Cz0tuDiY8C3ctxq1tqvaCgkFb8cCA/edit?usp=sharing"",""นครพนม!J24"")"),1)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IFERROR(__xludf.DUMMYFUNCTION("IMPORTRANGE(""https://docs.google.com/spreadsheets/d/1XL5vhW3sbDhbH9Cz0tuDiY8C3ctxq1tqvaCgkFb8cCA/edit?usp=sharing"",""นครพนม!I25"")"),50)</f>
        <v>50</v>
      </c>
      <c r="J85" s="190">
        <f ca="1">IFERROR(__xludf.DUMMYFUNCTION("IMPORTRANGE(""https://docs.google.com/spreadsheets/d/1XL5vhW3sbDhbH9Cz0tuDiY8C3ctxq1tqvaCgkFb8cCA/edit?usp=sharing"",""นครพนม!J25"")"),50)</f>
        <v>50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IFERROR(__xludf.DUMMYFUNCTION("IMPORTRANGE(""https://docs.google.com/spreadsheets/d/1XL5vhW3sbDhbH9Cz0tuDiY8C3ctxq1tqvaCgkFb8cCA/edit?usp=sharing"",""นครพนม!I26"")"),0)</f>
        <v>0</v>
      </c>
      <c r="J86" s="205">
        <f ca="1">IFERROR(__xludf.DUMMYFUNCTION("IMPORTRANGE(""https://docs.google.com/spreadsheets/d/1XL5vhW3sbDhbH9Cz0tuDiY8C3ctxq1tqvaCgkFb8cCA/edit?usp=sharing"",""นครพนม!J26"")"),0)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IFERROR(__xludf.DUMMYFUNCTION("IMPORTRANGE(""https://docs.google.com/spreadsheets/d/1XL5vhW3sbDhbH9Cz0tuDiY8C3ctxq1tqvaCgkFb8cCA/edit?usp=sharing"",""นครพนม!I27"")"),0)</f>
        <v>0</v>
      </c>
      <c r="J87" s="205">
        <f ca="1">IFERROR(__xludf.DUMMYFUNCTION("IMPORTRANGE(""https://docs.google.com/spreadsheets/d/1XL5vhW3sbDhbH9Cz0tuDiY8C3ctxq1tqvaCgkFb8cCA/edit?usp=sharing"",""นครพนม!J27"")"),0)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IFERROR(__xludf.DUMMYFUNCTION("IMPORTRANGE(""https://docs.google.com/spreadsheets/d/1XL5vhW3sbDhbH9Cz0tuDiY8C3ctxq1tqvaCgkFb8cCA/edit?usp=sharing"",""นครพนม!I28"")"),0)</f>
        <v>0</v>
      </c>
      <c r="J88" s="205">
        <f ca="1">IFERROR(__xludf.DUMMYFUNCTION("IMPORTRANGE(""https://docs.google.com/spreadsheets/d/1XL5vhW3sbDhbH9Cz0tuDiY8C3ctxq1tqvaCgkFb8cCA/edit?usp=sharing"",""นครพนม!J28"")"),0)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IFERROR(__xludf.DUMMYFUNCTION("IMPORTRANGE(""https://docs.google.com/spreadsheets/d/1XL5vhW3sbDhbH9Cz0tuDiY8C3ctxq1tqvaCgkFb8cCA/edit?usp=sharing"",""นครพนม!J29"")"),0)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97160</v>
      </c>
      <c r="O94" s="151">
        <f t="shared" ref="O94:O96" ca="1" si="53">IF(L94&gt;0,N94*100/L94,0)</f>
        <v>45.296037296037298</v>
      </c>
      <c r="P94" s="151">
        <f t="shared" ref="P94:P96" ca="1" si="54">IF(M94&gt;0,N94*100/M94,0)</f>
        <v>60.299137342518463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97160</v>
      </c>
      <c r="O96" s="156">
        <f t="shared" ca="1" si="53"/>
        <v>45.296037296037298</v>
      </c>
      <c r="P96" s="156">
        <f t="shared" ca="1" si="54"/>
        <v>60.299137342518463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IFERROR(__xludf.DUMMYFUNCTION("IMPORTRANGE(""https://docs.google.com/spreadsheets/d/1Yj_ptqi66GCucihVvJfMjLAmec39IyEx_6qawtMGysU/edit?usp=sharing"",""สบก!AR41"")"),68730)</f>
        <v>68730</v>
      </c>
      <c r="N98" s="170">
        <f ca="1">IFERROR(__xludf.DUMMYFUNCTION("IMPORTRANGE(""https://docs.google.com/spreadsheets/d/1Yj_ptqi66GCucihVvJfMjLAmec39IyEx_6qawtMGysU/edit?usp=sharing"",""สบก!AS41"")"),5160)</f>
        <v>5160</v>
      </c>
      <c r="O98" s="170">
        <f ca="1">IF(L98&gt;0,N98*100/L98,0)</f>
        <v>4.2260442260442259</v>
      </c>
      <c r="P98" s="170">
        <f ca="1">IF(M98&gt;0,N98*100/M98,0)</f>
        <v>7.5076385857704055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IFERROR(__xludf.DUMMYFUNCTION("IMPORTRANGE(""https://docs.google.com/spreadsheets/d/1Yj_ptqi66GCucihVvJfMjLAmec39IyEx_6qawtMGysU/edit?usp=sharing"",""สบก!AN41"")"),0)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IFERROR(__xludf.DUMMYFUNCTION("IMPORTRANGE(""https://docs.google.com/spreadsheets/d/1Yj_ptqi66GCucihVvJfMjLAmec39IyEx_6qawtMGysU/edit?usp=sharing"",""สบก!AO41"")"),122100)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IFERROR(__xludf.DUMMYFUNCTION("IMPORTRANGE(""https://docs.google.com/spreadsheets/d/1Yj_ptqi66GCucihVvJfMjLAmec39IyEx_6qawtMGysU/edit?usp=sharing"",""สบก!AP41"")"),92400)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99.567099567099561</v>
      </c>
      <c r="P102" s="49">
        <f ca="1">IF(M102&gt;0,N102*100/M102,0)</f>
        <v>99.567099567099561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IFERROR(__xludf.DUMMYFUNCTION("IMPORTRANGE(""https://docs.google.com/spreadsheets/d/1XL5vhW3sbDhbH9Cz0tuDiY8C3ctxq1tqvaCgkFb8cCA/edit?usp=sharing"",""นครพนม!I43"")"),1)</f>
        <v>1</v>
      </c>
      <c r="J108" s="205">
        <f ca="1">IFERROR(__xludf.DUMMYFUNCTION("IMPORTRANGE(""https://docs.google.com/spreadsheets/d/1XL5vhW3sbDhbH9Cz0tuDiY8C3ctxq1tqvaCgkFb8cCA/edit?usp=sharing"",""นครพนม!J43"")"),0)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IFERROR(__xludf.DUMMYFUNCTION("IMPORTRANGE(""https://docs.google.com/spreadsheets/d/1XL5vhW3sbDhbH9Cz0tuDiY8C3ctxq1tqvaCgkFb8cCA/edit?usp=sharing"",""นครพนม!I44"")"),4)</f>
        <v>4</v>
      </c>
      <c r="J109" s="205">
        <f ca="1">IFERROR(__xludf.DUMMYFUNCTION("IMPORTRANGE(""https://docs.google.com/spreadsheets/d/1XL5vhW3sbDhbH9Cz0tuDiY8C3ctxq1tqvaCgkFb8cCA/edit?usp=sharing"",""นครพนม!J44"")"),0)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IFERROR(__xludf.DUMMYFUNCTION("IMPORTRANGE(""https://docs.google.com/spreadsheets/d/1XL5vhW3sbDhbH9Cz0tuDiY8C3ctxq1tqvaCgkFb8cCA/edit?usp=sharing"",""นครพนม!I45"")"),4)</f>
        <v>4</v>
      </c>
      <c r="J110" s="205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IFERROR(__xludf.DUMMYFUNCTION("IMPORTRANGE(""https://docs.google.com/spreadsheets/d/1XL5vhW3sbDhbH9Cz0tuDiY8C3ctxq1tqvaCgkFb8cCA/edit?usp=sharing"",""นครพนม!I46"")"),4)</f>
        <v>4</v>
      </c>
      <c r="J111" s="205">
        <f ca="1">IFERROR(__xludf.DUMMYFUNCTION("IMPORTRANGE(""https://docs.google.com/spreadsheets/d/1XL5vhW3sbDhbH9Cz0tuDiY8C3ctxq1tqvaCgkFb8cCA/edit?usp=sharing"",""นครพนม!J46"")"),0)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IFERROR(__xludf.DUMMYFUNCTION("IMPORTRANGE(""https://docs.google.com/spreadsheets/d/1XL5vhW3sbDhbH9Cz0tuDiY8C3ctxq1tqvaCgkFb8cCA/edit?usp=sharing"",""นครพนม!I47"")"),4)</f>
        <v>4</v>
      </c>
      <c r="J112" s="205">
        <f ca="1">IFERROR(__xludf.DUMMYFUNCTION("IMPORTRANGE(""https://docs.google.com/spreadsheets/d/1XL5vhW3sbDhbH9Cz0tuDiY8C3ctxq1tqvaCgkFb8cCA/edit?usp=sharing"",""นครพนม!J47"")"),0)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IFERROR(__xludf.DUMMYFUNCTION("IMPORTRANGE(""https://docs.google.com/spreadsheets/d/1XL5vhW3sbDhbH9Cz0tuDiY8C3ctxq1tqvaCgkFb8cCA/edit?usp=sharing"",""นครพนม!I48"")"),1)</f>
        <v>1</v>
      </c>
      <c r="J113" s="205">
        <f ca="1">IFERROR(__xludf.DUMMYFUNCTION("IMPORTRANGE(""https://docs.google.com/spreadsheets/d/1XL5vhW3sbDhbH9Cz0tuDiY8C3ctxq1tqvaCgkFb8cCA/edit?usp=sharing"",""นครพนม!J48"")"),0)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IFERROR(__xludf.DUMMYFUNCTION("IMPORTRANGE(""https://docs.google.com/spreadsheets/d/1Yj_ptqi66GCucihVvJfMjLAmec39IyEx_6qawtMGysU/edit?usp=sharing"",""สบก!BA41"")"),0)</f>
        <v>0</v>
      </c>
      <c r="N122" s="170">
        <f ca="1">IFERROR(__xludf.DUMMYFUNCTION("IMPORTRANGE(""https://docs.google.com/spreadsheets/d/1Yj_ptqi66GCucihVvJfMjLAmec39IyEx_6qawtMGysU/edit?usp=sharing"",""สบก!BB41"")"),0)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IFERROR(__xludf.DUMMYFUNCTION("IMPORTRANGE(""https://docs.google.com/spreadsheets/d/1Yj_ptqi66GCucihVvJfMjLAmec39IyEx_6qawtMGysU/edit?usp=sharing"",""สบก!AW41"")"),0)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IFERROR(__xludf.DUMMYFUNCTION("IMPORTRANGE(""https://docs.google.com/spreadsheets/d/1Yj_ptqi66GCucihVvJfMjLAmec39IyEx_6qawtMGysU/edit?usp=sharing"",""สบก!AX41"")"),0)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IFERROR(__xludf.DUMMYFUNCTION("IMPORTRANGE(""https://docs.google.com/spreadsheets/d/1XL5vhW3sbDhbH9Cz0tuDiY8C3ctxq1tqvaCgkFb8cCA/edit?usp=sharing"",""นครพนม!I62"")"),0)</f>
        <v>0</v>
      </c>
      <c r="J132" s="205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IFERROR(__xludf.DUMMYFUNCTION("IMPORTRANGE(""https://docs.google.com/spreadsheets/d/1XL5vhW3sbDhbH9Cz0tuDiY8C3ctxq1tqvaCgkFb8cCA/edit?usp=sharing"",""นครพนม!I63"")"),0)</f>
        <v>0</v>
      </c>
      <c r="J133" s="205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72000</v>
      </c>
      <c r="M140" s="152">
        <f t="shared" ca="1" si="64"/>
        <v>63750</v>
      </c>
      <c r="N140" s="152">
        <f t="shared" ca="1" si="64"/>
        <v>17110</v>
      </c>
      <c r="O140" s="151">
        <f t="shared" ref="O140:O142" ca="1" si="65">IF(L140&gt;0,N140*100/L140,0)</f>
        <v>23.763888888888889</v>
      </c>
      <c r="P140" s="151">
        <f t="shared" ref="P140:P142" ca="1" si="66">IF(M140&gt;0,N140*100/M140,0)</f>
        <v>26.83921568627451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72000</v>
      </c>
      <c r="M142" s="157">
        <f t="shared" ca="1" si="68"/>
        <v>63750</v>
      </c>
      <c r="N142" s="157">
        <f t="shared" ca="1" si="68"/>
        <v>17110</v>
      </c>
      <c r="O142" s="156">
        <f t="shared" ca="1" si="65"/>
        <v>23.763888888888889</v>
      </c>
      <c r="P142" s="156">
        <f t="shared" ca="1" si="66"/>
        <v>26.83921568627451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72000</v>
      </c>
      <c r="M144" s="169">
        <f ca="1">IFERROR(__xludf.DUMMYFUNCTION("IMPORTRANGE(""https://docs.google.com/spreadsheets/d/1Yj_ptqi66GCucihVvJfMjLAmec39IyEx_6qawtMGysU/edit?usp=sharing"",""สบก!BJ41"")"),63750)</f>
        <v>63750</v>
      </c>
      <c r="N144" s="170">
        <f ca="1">IFERROR(__xludf.DUMMYFUNCTION("IMPORTRANGE(""https://docs.google.com/spreadsheets/d/1Yj_ptqi66GCucihVvJfMjLAmec39IyEx_6qawtMGysU/edit?usp=sharing"",""สบก!BK41"")"),17110)</f>
        <v>17110</v>
      </c>
      <c r="O144" s="170">
        <f ca="1">IF(L144&gt;0,N144*100/L144,0)</f>
        <v>23.763888888888889</v>
      </c>
      <c r="P144" s="170">
        <f ca="1">IF(M144&gt;0,N144*100/M144,0)</f>
        <v>26.83921568627451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IFERROR(__xludf.DUMMYFUNCTION("IMPORTRANGE(""https://docs.google.com/spreadsheets/d/1Yj_ptqi66GCucihVvJfMjLAmec39IyEx_6qawtMGysU/edit?usp=sharing"",""สบก!BF41"")"),0)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IFERROR(__xludf.DUMMYFUNCTION("IMPORTRANGE(""https://docs.google.com/spreadsheets/d/1Yj_ptqi66GCucihVvJfMjLAmec39IyEx_6qawtMGysU/edit?usp=sharing"",""สบก!BG41"")"),72000)</f>
        <v>72000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IFERROR(__xludf.DUMMYFUNCTION("IMPORTRANGE(""https://docs.google.com/spreadsheets/d/1XL5vhW3sbDhbH9Cz0tuDiY8C3ctxq1tqvaCgkFb8cCA/edit?usp=sharing"",""นครพนม!J79"")"),0)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IFERROR(__xludf.DUMMYFUNCTION("IMPORTRANGE(""https://docs.google.com/spreadsheets/d/1XL5vhW3sbDhbH9Cz0tuDiY8C3ctxq1tqvaCgkFb8cCA/edit?usp=sharing"",""นครพนม!J80"")"),1)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IFERROR(__xludf.DUMMYFUNCTION("IMPORTRANGE(""https://docs.google.com/spreadsheets/d/1XL5vhW3sbDhbH9Cz0tuDiY8C3ctxq1tqvaCgkFb8cCA/edit?usp=sharing"",""นครพนม!J81"")"),1)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IFERROR(__xludf.DUMMYFUNCTION("IMPORTRANGE(""https://docs.google.com/spreadsheets/d/1XL5vhW3sbDhbH9Cz0tuDiY8C3ctxq1tqvaCgkFb8cCA/edit?usp=sharing"",""นครพนม!J82"")"),1)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IFERROR(__xludf.DUMMYFUNCTION("IMPORTRANGE(""https://docs.google.com/spreadsheets/d/1XL5vhW3sbDhbH9Cz0tuDiY8C3ctxq1tqvaCgkFb8cCA/edit?usp=sharing"",""นครพนม!I83"")"),4)</f>
        <v>4</v>
      </c>
      <c r="J158" s="190">
        <f ca="1">IFERROR(__xludf.DUMMYFUNCTION("IMPORTRANGE(""https://docs.google.com/spreadsheets/d/1XL5vhW3sbDhbH9Cz0tuDiY8C3ctxq1tqvaCgkFb8cCA/edit?usp=sharing"",""นครพนม!J83"")"),1)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IFERROR(__xludf.DUMMYFUNCTION("IMPORTRANGE(""https://docs.google.com/spreadsheets/d/1XL5vhW3sbDhbH9Cz0tuDiY8C3ctxq1tqvaCgkFb8cCA/edit?usp=sharing"",""นครพนม!J84"")"),0)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IFERROR(__xludf.DUMMYFUNCTION("IMPORTRANGE(""https://docs.google.com/spreadsheets/d/1XL5vhW3sbDhbH9Cz0tuDiY8C3ctxq1tqvaCgkFb8cCA/edit?usp=sharing"",""นครพนม!J85"")"),0)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IFERROR(__xludf.DUMMYFUNCTION("IMPORTRANGE(""https://docs.google.com/spreadsheets/d/1XL5vhW3sbDhbH9Cz0tuDiY8C3ctxq1tqvaCgkFb8cCA/edit?usp=sharing"",""นครพนม!J86"")"),0)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IFERROR(__xludf.DUMMYFUNCTION("IMPORTRANGE(""https://docs.google.com/spreadsheets/d/1XL5vhW3sbDhbH9Cz0tuDiY8C3ctxq1tqvaCgkFb8cCA/edit?usp=sharing"",""นครพนม!J87"")"),0)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IFERROR(__xludf.DUMMYFUNCTION("IMPORTRANGE(""https://docs.google.com/spreadsheets/d/1XL5vhW3sbDhbH9Cz0tuDiY8C3ctxq1tqvaCgkFb8cCA/edit?usp=sharing"",""นครพนม!I89"")"),3)</f>
        <v>3</v>
      </c>
      <c r="J164" s="284">
        <f ca="1">IFERROR(__xludf.DUMMYFUNCTION("IMPORTRANGE(""https://docs.google.com/spreadsheets/d/1XL5vhW3sbDhbH9Cz0tuDiY8C3ctxq1tqvaCgkFb8cCA/edit?usp=sharing"",""นครพนม!J89"")"),3)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IFERROR(__xludf.DUMMYFUNCTION("IMPORTRANGE(""https://docs.google.com/spreadsheets/d/1XL5vhW3sbDhbH9Cz0tuDiY8C3ctxq1tqvaCgkFb8cCA/edit?usp=sharing"",""นครพนม!J94"")"),0)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IFERROR(__xludf.DUMMYFUNCTION("IMPORTRANGE(""https://docs.google.com/spreadsheets/d/1XL5vhW3sbDhbH9Cz0tuDiY8C3ctxq1tqvaCgkFb8cCA/edit?usp=sharing"",""นครพนม!J95"")"),1)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IFERROR(__xludf.DUMMYFUNCTION("IMPORTRANGE(""https://docs.google.com/spreadsheets/d/1XL5vhW3sbDhbH9Cz0tuDiY8C3ctxq1tqvaCgkFb8cCA/edit?usp=sharing"",""นครพนม!J96"")"),1)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IFERROR(__xludf.DUMMYFUNCTION("IMPORTRANGE(""https://docs.google.com/spreadsheets/d/1XL5vhW3sbDhbH9Cz0tuDiY8C3ctxq1tqvaCgkFb8cCA/edit?usp=sharing"",""นครพนม!J97"")"),0)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IFERROR(__xludf.DUMMYFUNCTION("IMPORTRANGE(""https://docs.google.com/spreadsheets/d/1XL5vhW3sbDhbH9Cz0tuDiY8C3ctxq1tqvaCgkFb8cCA/edit?usp=sharing"",""นครพนม!I98"")"),3)</f>
        <v>3</v>
      </c>
      <c r="J173" s="190">
        <f ca="1">IFERROR(__xludf.DUMMYFUNCTION("IMPORTRANGE(""https://docs.google.com/spreadsheets/d/1XL5vhW3sbDhbH9Cz0tuDiY8C3ctxq1tqvaCgkFb8cCA/edit?usp=sharing"",""นครพนม!J98"")"),3)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IFERROR(__xludf.DUMMYFUNCTION("IMPORTRANGE(""https://docs.google.com/spreadsheets/d/1XL5vhW3sbDhbH9Cz0tuDiY8C3ctxq1tqvaCgkFb8cCA/edit?usp=sharing"",""นครพนม!J99"")"),0)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IFERROR(__xludf.DUMMYFUNCTION("IMPORTRANGE(""https://docs.google.com/spreadsheets/d/1XL5vhW3sbDhbH9Cz0tuDiY8C3ctxq1tqvaCgkFb8cCA/edit?usp=sharing"",""นครพนม!I101"")"),1)</f>
        <v>1</v>
      </c>
      <c r="J176" s="284">
        <f ca="1">IFERROR(__xludf.DUMMYFUNCTION("IMPORTRANGE(""https://docs.google.com/spreadsheets/d/1XL5vhW3sbDhbH9Cz0tuDiY8C3ctxq1tqvaCgkFb8cCA/edit?usp=sharing"",""นครพนม!J101"")"),1)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IFERROR(__xludf.DUMMYFUNCTION("IMPORTRANGE(""https://docs.google.com/spreadsheets/d/1XL5vhW3sbDhbH9Cz0tuDiY8C3ctxq1tqvaCgkFb8cCA/edit?usp=sharing"",""นครพนม!I110"")"),1)</f>
        <v>1</v>
      </c>
      <c r="J185" s="205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IFERROR(__xludf.DUMMYFUNCTION("IMPORTRANGE(""https://docs.google.com/spreadsheets/d/1XL5vhW3sbDhbH9Cz0tuDiY8C3ctxq1tqvaCgkFb8cCA/edit?usp=sharing"",""นครพนม!I111"")"),1)</f>
        <v>1</v>
      </c>
      <c r="J186" s="205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IFERROR(__xludf.DUMMYFUNCTION("IMPORTRANGE(""https://docs.google.com/spreadsheets/d/1XL5vhW3sbDhbH9Cz0tuDiY8C3ctxq1tqvaCgkFb8cCA/edit?usp=sharing"",""นครพนม!I114"")"),10000)</f>
        <v>10000</v>
      </c>
      <c r="J189" s="284">
        <f ca="1">IFERROR(__xludf.DUMMYFUNCTION("IMPORTRANGE(""https://docs.google.com/spreadsheets/d/1XL5vhW3sbDhbH9Cz0tuDiY8C3ctxq1tqvaCgkFb8cCA/edit?usp=sharing"",""นครพนม!J114"")"),0)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IFERROR(__xludf.DUMMYFUNCTION("IMPORTRANGE(""https://docs.google.com/spreadsheets/d/1XL5vhW3sbDhbH9Cz0tuDiY8C3ctxq1tqvaCgkFb8cCA/edit?usp=sharing"",""นครพนม!J119"")"),0)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IFERROR(__xludf.DUMMYFUNCTION("IMPORTRANGE(""https://docs.google.com/spreadsheets/d/1XL5vhW3sbDhbH9Cz0tuDiY8C3ctxq1tqvaCgkFb8cCA/edit?usp=sharing"",""นครพนม!J120"")"),1)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IFERROR(__xludf.DUMMYFUNCTION("IMPORTRANGE(""https://docs.google.com/spreadsheets/d/1XL5vhW3sbDhbH9Cz0tuDiY8C3ctxq1tqvaCgkFb8cCA/edit?usp=sharing"",""นครพนม!J121"")"),1)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IFERROR(__xludf.DUMMYFUNCTION("IMPORTRANGE(""https://docs.google.com/spreadsheets/d/1XL5vhW3sbDhbH9Cz0tuDiY8C3ctxq1tqvaCgkFb8cCA/edit?usp=sharing"",""นครพนม!J122"")"),1)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IFERROR(__xludf.DUMMYFUNCTION("IMPORTRANGE(""https://docs.google.com/spreadsheets/d/1XL5vhW3sbDhbH9Cz0tuDiY8C3ctxq1tqvaCgkFb8cCA/edit?usp=sharing"",""นครพนม!I124"")"),10000)</f>
        <v>10000</v>
      </c>
      <c r="J199" s="190">
        <f ca="1">IFERROR(__xludf.DUMMYFUNCTION("IMPORTRANGE(""https://docs.google.com/spreadsheets/d/1XL5vhW3sbDhbH9Cz0tuDiY8C3ctxq1tqvaCgkFb8cCA/edit?usp=sharing"",""นครพนม!J124"")"),0)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IFERROR(__xludf.DUMMYFUNCTION("IMPORTRANGE(""https://docs.google.com/spreadsheets/d/1XL5vhW3sbDhbH9Cz0tuDiY8C3ctxq1tqvaCgkFb8cCA/edit?usp=sharing"",""นครพนม!I125"")"),10000)</f>
        <v>10000</v>
      </c>
      <c r="J200" s="190">
        <f ca="1">IFERROR(__xludf.DUMMYFUNCTION("IMPORTRANGE(""https://docs.google.com/spreadsheets/d/1XL5vhW3sbDhbH9Cz0tuDiY8C3ctxq1tqvaCgkFb8cCA/edit?usp=sharing"",""นครพนม!J125"")"),0)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IFERROR(__xludf.DUMMYFUNCTION("IMPORTRANGE(""https://docs.google.com/spreadsheets/d/1XL5vhW3sbDhbH9Cz0tuDiY8C3ctxq1tqvaCgkFb8cCA/edit?usp=sharing"",""นครพนม!I126"")"),0)</f>
        <v>0</v>
      </c>
      <c r="J201" s="190">
        <f ca="1">IFERROR(__xludf.DUMMYFUNCTION("IMPORTRANGE(""https://docs.google.com/spreadsheets/d/1XL5vhW3sbDhbH9Cz0tuDiY8C3ctxq1tqvaCgkFb8cCA/edit?usp=sharing"",""นครพนม!J126"")"),0)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IFERROR(__xludf.DUMMYFUNCTION("IMPORTRANGE(""https://docs.google.com/spreadsheets/d/1XL5vhW3sbDhbH9Cz0tuDiY8C3ctxq1tqvaCgkFb8cCA/edit?usp=sharing"",""นครพนม!J127"")"),0)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IFERROR(__xludf.DUMMYFUNCTION("IMPORTRANGE(""https://docs.google.com/spreadsheets/d/1XL5vhW3sbDhbH9Cz0tuDiY8C3ctxq1tqvaCgkFb8cCA/edit?usp=sharing"",""นครพนม!J128"")"),0)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IFERROR(__xludf.DUMMYFUNCTION("IMPORTRANGE(""https://docs.google.com/spreadsheets/d/1XL5vhW3sbDhbH9Cz0tuDiY8C3ctxq1tqvaCgkFb8cCA/edit?usp=sharing"",""นครพนม!I129"")"),0)</f>
        <v>0</v>
      </c>
      <c r="J204" s="284">
        <f ca="1">IFERROR(__xludf.DUMMYFUNCTION("IMPORTRANGE(""https://docs.google.com/spreadsheets/d/1XL5vhW3sbDhbH9Cz0tuDiY8C3ctxq1tqvaCgkFb8cCA/edit?usp=sharing"",""นครพนม!J129"")"),0)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IFERROR(__xludf.DUMMYFUNCTION("IMPORTRANGE(""https://docs.google.com/spreadsheets/d/1XL5vhW3sbDhbH9Cz0tuDiY8C3ctxq1tqvaCgkFb8cCA/edit?usp=sharing"",""นครพนม!I138"")"),0)</f>
        <v>0</v>
      </c>
      <c r="J213" s="205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IFERROR(__xludf.DUMMYFUNCTION("IMPORTRANGE(""https://docs.google.com/spreadsheets/d/1XL5vhW3sbDhbH9Cz0tuDiY8C3ctxq1tqvaCgkFb8cCA/edit?usp=sharing"",""นครพนม!I140"")"),0)</f>
        <v>0</v>
      </c>
      <c r="J215" s="205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IFERROR(__xludf.DUMMYFUNCTION("IMPORTRANGE(""https://docs.google.com/spreadsheets/d/1XL5vhW3sbDhbH9Cz0tuDiY8C3ctxq1tqvaCgkFb8cCA/edit?usp=sharing"",""นครพนม!I141"")"),0)</f>
        <v>0</v>
      </c>
      <c r="J216" s="205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IFERROR(__xludf.DUMMYFUNCTION("IMPORTRANGE(""https://docs.google.com/spreadsheets/d/1Yj_ptqi66GCucihVvJfMjLAmec39IyEx_6qawtMGysU/edit?usp=sharing"",""สบก!BS41"")"),21125)</f>
        <v>21125</v>
      </c>
      <c r="N224" s="170">
        <f ca="1">IFERROR(__xludf.DUMMYFUNCTION("IMPORTRANGE(""https://docs.google.com/spreadsheets/d/1Yj_ptqi66GCucihVvJfMjLAmec39IyEx_6qawtMGysU/edit?usp=sharing"",""สบก!BT41"")"),21125)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IFERROR(__xludf.DUMMYFUNCTION("IMPORTRANGE(""https://docs.google.com/spreadsheets/d/1Yj_ptqi66GCucihVvJfMjLAmec39IyEx_6qawtMGysU/edit?usp=sharing"",""สบก!BO41"")"),0)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IFERROR(__xludf.DUMMYFUNCTION("IMPORTRANGE(""https://docs.google.com/spreadsheets/d/1Yj_ptqi66GCucihVvJfMjLAmec39IyEx_6qawtMGysU/edit?usp=sharing"",""สบก!BP41"")"),21125)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IFERROR(__xludf.DUMMYFUNCTION("IMPORTRANGE(""https://docs.google.com/spreadsheets/d/1XL5vhW3sbDhbH9Cz0tuDiY8C3ctxq1tqvaCgkFb8cCA/edit?usp=sharing"",""นครพนม!J151"")"),0)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IFERROR(__xludf.DUMMYFUNCTION("IMPORTRANGE(""https://docs.google.com/spreadsheets/d/1XL5vhW3sbDhbH9Cz0tuDiY8C3ctxq1tqvaCgkFb8cCA/edit?usp=sharing"",""นครพนม!J152"")"),1)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IFERROR(__xludf.DUMMYFUNCTION("IMPORTRANGE(""https://docs.google.com/spreadsheets/d/1XL5vhW3sbDhbH9Cz0tuDiY8C3ctxq1tqvaCgkFb8cCA/edit?usp=sharing"",""นครพนม!J153"")"),1)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IFERROR(__xludf.DUMMYFUNCTION("IMPORTRANGE(""https://docs.google.com/spreadsheets/d/1XL5vhW3sbDhbH9Cz0tuDiY8C3ctxq1tqvaCgkFb8cCA/edit?usp=sharing"",""นครพนม!J154"")"),1)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IFERROR(__xludf.DUMMYFUNCTION("IMPORTRANGE(""https://docs.google.com/spreadsheets/d/1XL5vhW3sbDhbH9Cz0tuDiY8C3ctxq1tqvaCgkFb8cCA/edit?usp=sharing"",""นครพนม!I155"")"),15)</f>
        <v>15</v>
      </c>
      <c r="J235" s="190">
        <f ca="1">IFERROR(__xludf.DUMMYFUNCTION("IMPORTRANGE(""https://docs.google.com/spreadsheets/d/1XL5vhW3sbDhbH9Cz0tuDiY8C3ctxq1tqvaCgkFb8cCA/edit?usp=sharing"",""นครพนม!J155"")"),15)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IFERROR(__xludf.DUMMYFUNCTION("IMPORTRANGE(""https://docs.google.com/spreadsheets/d/1XL5vhW3sbDhbH9Cz0tuDiY8C3ctxq1tqvaCgkFb8cCA/edit?usp=sharing"",""นครพนม!J156"")"),0)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IFERROR(__xludf.DUMMYFUNCTION("IMPORTRANGE(""https://docs.google.com/spreadsheets/d/1XL5vhW3sbDhbH9Cz0tuDiY8C3ctxq1tqvaCgkFb8cCA/edit?usp=sharing"",""นครพนม!J157"")"),0)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IFERROR(__xludf.DUMMYFUNCTION("IMPORTRANGE(""https://docs.google.com/spreadsheets/d/1XL5vhW3sbDhbH9Cz0tuDiY8C3ctxq1tqvaCgkFb8cCA/edit?usp=sharing"",""นครพนม!J159"")"),"")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IFERROR(__xludf.DUMMYFUNCTION("IMPORTRANGE(""https://docs.google.com/spreadsheets/d/1XL5vhW3sbDhbH9Cz0tuDiY8C3ctxq1tqvaCgkFb8cCA/edit?usp=sharing"",""นครพนม!J161"")"),0)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IFERROR(__xludf.DUMMYFUNCTION("IMPORTRANGE(""https://docs.google.com/spreadsheets/d/1XL5vhW3sbDhbH9Cz0tuDiY8C3ctxq1tqvaCgkFb8cCA/edit?usp=sharing"",""นครพนม!J162"")"),0)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IFERROR(__xludf.DUMMYFUNCTION("IMPORTRANGE(""https://docs.google.com/spreadsheets/d/1XL5vhW3sbDhbH9Cz0tuDiY8C3ctxq1tqvaCgkFb8cCA/edit?usp=sharing"",""นครพนม!J163"")"),0)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IFERROR(__xludf.DUMMYFUNCTION("IMPORTRANGE(""https://docs.google.com/spreadsheets/d/1XL5vhW3sbDhbH9Cz0tuDiY8C3ctxq1tqvaCgkFb8cCA/edit?usp=sharing"",""นครพนม!I164"")"),0)</f>
        <v>0</v>
      </c>
      <c r="J244" s="189">
        <f ca="1">IFERROR(__xludf.DUMMYFUNCTION("IMPORTRANGE(""https://docs.google.com/spreadsheets/d/1XL5vhW3sbDhbH9Cz0tuDiY8C3ctxq1tqvaCgkFb8cCA/edit?usp=sharing"",""นครพนม!J164"")"),0)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IFERROR(__xludf.DUMMYFUNCTION("IMPORTRANGE(""https://docs.google.com/spreadsheets/d/1XL5vhW3sbDhbH9Cz0tuDiY8C3ctxq1tqvaCgkFb8cCA/edit?usp=sharing"",""นครพนม!J165"")"),0)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IFERROR(__xludf.DUMMYFUNCTION("IMPORTRANGE(""https://docs.google.com/spreadsheets/d/1XL5vhW3sbDhbH9Cz0tuDiY8C3ctxq1tqvaCgkFb8cCA/edit?usp=sharing"",""นครพนม!I169"")"),25)</f>
        <v>25</v>
      </c>
      <c r="J249" s="316">
        <f ca="1">IFERROR(__xludf.DUMMYFUNCTION("IMPORTRANGE(""https://docs.google.com/spreadsheets/d/1XL5vhW3sbDhbH9Cz0tuDiY8C3ctxq1tqvaCgkFb8cCA/edit?usp=sharing"",""นครพนม!J169"")"),0)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221000</v>
      </c>
      <c r="M250" s="152">
        <f t="shared" ca="1" si="77"/>
        <v>108500</v>
      </c>
      <c r="N250" s="152">
        <f t="shared" ca="1" si="77"/>
        <v>44700</v>
      </c>
      <c r="O250" s="151">
        <f t="shared" ref="O250:O252" ca="1" si="78">IF(L250&gt;0,N250*100/L250,0)</f>
        <v>20.226244343891402</v>
      </c>
      <c r="P250" s="151">
        <f t="shared" ref="P250:P252" ca="1" si="79">IF(M250&gt;0,N250*100/M250,0)</f>
        <v>41.198156682027651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221000</v>
      </c>
      <c r="M252" s="157">
        <f t="shared" ca="1" si="81"/>
        <v>108500</v>
      </c>
      <c r="N252" s="157">
        <f t="shared" ca="1" si="81"/>
        <v>44700</v>
      </c>
      <c r="O252" s="156">
        <f t="shared" ca="1" si="78"/>
        <v>20.226244343891402</v>
      </c>
      <c r="P252" s="156">
        <f t="shared" ca="1" si="79"/>
        <v>41.198156682027651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221000</v>
      </c>
      <c r="M254" s="169">
        <f ca="1">IFERROR(__xludf.DUMMYFUNCTION("IMPORTRANGE(""https://docs.google.com/spreadsheets/d/1Yj_ptqi66GCucihVvJfMjLAmec39IyEx_6qawtMGysU/edit?usp=sharing"",""สบก!CB41"")"),108500)</f>
        <v>108500</v>
      </c>
      <c r="N254" s="170">
        <f ca="1">IFERROR(__xludf.DUMMYFUNCTION("IMPORTRANGE(""https://docs.google.com/spreadsheets/d/1Yj_ptqi66GCucihVvJfMjLAmec39IyEx_6qawtMGysU/edit?usp=sharing"",""สบก!CC41"")"),44700)</f>
        <v>44700</v>
      </c>
      <c r="O254" s="170">
        <f ca="1">IF(L254&gt;0,N254*100/L254,0)</f>
        <v>20.226244343891402</v>
      </c>
      <c r="P254" s="170">
        <f ca="1">IF(M254&gt;0,N254*100/M254,0)</f>
        <v>41.198156682027651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IFERROR(__xludf.DUMMYFUNCTION("IMPORTRANGE(""https://docs.google.com/spreadsheets/d/1Yj_ptqi66GCucihVvJfMjLAmec39IyEx_6qawtMGysU/edit?usp=sharing"",""สบก!BX41"")"),132000)</f>
        <v>132000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IFERROR(__xludf.DUMMYFUNCTION("IMPORTRANGE(""https://docs.google.com/spreadsheets/d/1Yj_ptqi66GCucihVvJfMjLAmec39IyEx_6qawtMGysU/edit?usp=sharing"",""สบก!BY41"")"),89000)</f>
        <v>89000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IFERROR(__xludf.DUMMYFUNCTION("IMPORTRANGE(""https://docs.google.com/spreadsheets/d/1XL5vhW3sbDhbH9Cz0tuDiY8C3ctxq1tqvaCgkFb8cCA/edit?usp=sharing"",""นครพนม!J175"")"),0)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IFERROR(__xludf.DUMMYFUNCTION("IMPORTRANGE(""https://docs.google.com/spreadsheets/d/1XL5vhW3sbDhbH9Cz0tuDiY8C3ctxq1tqvaCgkFb8cCA/edit?usp=sharing"",""นครพนม!J176"")"),1)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IFERROR(__xludf.DUMMYFUNCTION("IMPORTRANGE(""https://docs.google.com/spreadsheets/d/1XL5vhW3sbDhbH9Cz0tuDiY8C3ctxq1tqvaCgkFb8cCA/edit?usp=sharing"",""นครพนม!J177"")"),1)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IFERROR(__xludf.DUMMYFUNCTION("IMPORTRANGE(""https://docs.google.com/spreadsheets/d/1XL5vhW3sbDhbH9Cz0tuDiY8C3ctxq1tqvaCgkFb8cCA/edit?usp=sharing"",""นครพนม!J178"")"),1)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IFERROR(__xludf.DUMMYFUNCTION("IMPORTRANGE(""https://docs.google.com/spreadsheets/d/1XL5vhW3sbDhbH9Cz0tuDiY8C3ctxq1tqvaCgkFb8cCA/edit?usp=sharing"",""นครพนม!I179"")"),1)</f>
        <v>1</v>
      </c>
      <c r="J264" s="190">
        <f ca="1">IFERROR(__xludf.DUMMYFUNCTION("IMPORTRANGE(""https://docs.google.com/spreadsheets/d/1XL5vhW3sbDhbH9Cz0tuDiY8C3ctxq1tqvaCgkFb8cCA/edit?usp=sharing"",""นครพนม!J179"")"),0)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IFERROR(__xludf.DUMMYFUNCTION("IMPORTRANGE(""https://docs.google.com/spreadsheets/d/1XL5vhW3sbDhbH9Cz0tuDiY8C3ctxq1tqvaCgkFb8cCA/edit?usp=sharing"",""นครพนม!I180"")"),25)</f>
        <v>25</v>
      </c>
      <c r="J265" s="190">
        <f ca="1">IFERROR(__xludf.DUMMYFUNCTION("IMPORTRANGE(""https://docs.google.com/spreadsheets/d/1XL5vhW3sbDhbH9Cz0tuDiY8C3ctxq1tqvaCgkFb8cCA/edit?usp=sharing"",""นครพนม!J180"")"),0)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IFERROR(__xludf.DUMMYFUNCTION("IMPORTRANGE(""https://docs.google.com/spreadsheets/d/1XL5vhW3sbDhbH9Cz0tuDiY8C3ctxq1tqvaCgkFb8cCA/edit?usp=sharing"",""นครพนม!I181"")"),25)</f>
        <v>25</v>
      </c>
      <c r="J266" s="190">
        <f ca="1">IFERROR(__xludf.DUMMYFUNCTION("IMPORTRANGE(""https://docs.google.com/spreadsheets/d/1XL5vhW3sbDhbH9Cz0tuDiY8C3ctxq1tqvaCgkFb8cCA/edit?usp=sharing"",""นครพนม!J181"")"),0)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IFERROR(__xludf.DUMMYFUNCTION("IMPORTRANGE(""https://docs.google.com/spreadsheets/d/1XL5vhW3sbDhbH9Cz0tuDiY8C3ctxq1tqvaCgkFb8cCA/edit?usp=sharing"",""นครพนม!I182"")"),1)</f>
        <v>1</v>
      </c>
      <c r="J267" s="190">
        <f ca="1">IFERROR(__xludf.DUMMYFUNCTION("IMPORTRANGE(""https://docs.google.com/spreadsheets/d/1XL5vhW3sbDhbH9Cz0tuDiY8C3ctxq1tqvaCgkFb8cCA/edit?usp=sharing"",""นครพนม!J182"")"),0)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IFERROR(__xludf.DUMMYFUNCTION("IMPORTRANGE(""https://docs.google.com/spreadsheets/d/1XL5vhW3sbDhbH9Cz0tuDiY8C3ctxq1tqvaCgkFb8cCA/edit?usp=sharing"",""นครพนม!J183"")"),0)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IFERROR(__xludf.DUMMYFUNCTION("IMPORTRANGE(""https://docs.google.com/spreadsheets/d/1XL5vhW3sbDhbH9Cz0tuDiY8C3ctxq1tqvaCgkFb8cCA/edit?usp=sharing"",""นครพนม!J184"")"),0)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IFERROR(__xludf.DUMMYFUNCTION("IMPORTRANGE(""https://docs.google.com/spreadsheets/d/1XL5vhW3sbDhbH9Cz0tuDiY8C3ctxq1tqvaCgkFb8cCA/edit?usp=sharing"",""นครพนม!I185"")"),0)</f>
        <v>0</v>
      </c>
      <c r="J270" s="316">
        <f ca="1">IFERROR(__xludf.DUMMYFUNCTION("IMPORTRANGE(""https://docs.google.com/spreadsheets/d/1XL5vhW3sbDhbH9Cz0tuDiY8C3ctxq1tqvaCgkFb8cCA/edit?usp=sharing"",""นครพนม!J185"")"),0)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IFERROR(__xludf.DUMMYFUNCTION("IMPORTRANGE(""https://docs.google.com/spreadsheets/d/1Yj_ptqi66GCucihVvJfMjLAmec39IyEx_6qawtMGysU/edit?usp=sharing"",""สบก!CK41"")"),0)</f>
        <v>0</v>
      </c>
      <c r="N275" s="170">
        <f ca="1">IFERROR(__xludf.DUMMYFUNCTION("IMPORTRANGE(""https://docs.google.com/spreadsheets/d/1Yj_ptqi66GCucihVvJfMjLAmec39IyEx_6qawtMGysU/edit?usp=sharing"",""สบก!CL41"")"),0)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IFERROR(__xludf.DUMMYFUNCTION("IMPORTRANGE(""https://docs.google.com/spreadsheets/d/1Yj_ptqi66GCucihVvJfMjLAmec39IyEx_6qawtMGysU/edit?usp=sharing"",""สบก!CG41"")"),0)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IFERROR(__xludf.DUMMYFUNCTION("IMPORTRANGE(""https://docs.google.com/spreadsheets/d/1Yj_ptqi66GCucihVvJfMjLAmec39IyEx_6qawtMGysU/edit?usp=sharing"",""สบก!CH41"")"),0)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IFERROR(__xludf.DUMMYFUNCTION("IMPORTRANGE(""https://docs.google.com/spreadsheets/d/1XL5vhW3sbDhbH9Cz0tuDiY8C3ctxq1tqvaCgkFb8cCA/edit?usp=sharing"",""นครพนม!J191"")"),0)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IFERROR(__xludf.DUMMYFUNCTION("IMPORTRANGE(""https://docs.google.com/spreadsheets/d/1XL5vhW3sbDhbH9Cz0tuDiY8C3ctxq1tqvaCgkFb8cCA/edit?usp=sharing"",""นครพนม!J192"")"),0)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IFERROR(__xludf.DUMMYFUNCTION("IMPORTRANGE(""https://docs.google.com/spreadsheets/d/1XL5vhW3sbDhbH9Cz0tuDiY8C3ctxq1tqvaCgkFb8cCA/edit?usp=sharing"",""นครพนม!J193"")"),0)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IFERROR(__xludf.DUMMYFUNCTION("IMPORTRANGE(""https://docs.google.com/spreadsheets/d/1XL5vhW3sbDhbH9Cz0tuDiY8C3ctxq1tqvaCgkFb8cCA/edit?usp=sharing"",""นครพนม!J194"")"),0)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IFERROR(__xludf.DUMMYFUNCTION("IMPORTRANGE(""https://docs.google.com/spreadsheets/d/1XL5vhW3sbDhbH9Cz0tuDiY8C3ctxq1tqvaCgkFb8cCA/edit?usp=sharing"",""นครพนม!I195"")"),0)</f>
        <v>0</v>
      </c>
      <c r="J285" s="190">
        <f ca="1">IFERROR(__xludf.DUMMYFUNCTION("IMPORTRANGE(""https://docs.google.com/spreadsheets/d/1XL5vhW3sbDhbH9Cz0tuDiY8C3ctxq1tqvaCgkFb8cCA/edit?usp=sharing"",""นครพนม!J195"")"),0)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IFERROR(__xludf.DUMMYFUNCTION("IMPORTRANGE(""https://docs.google.com/spreadsheets/d/1XL5vhW3sbDhbH9Cz0tuDiY8C3ctxq1tqvaCgkFb8cCA/edit?usp=sharing"",""นครพนม!J196"")"),0)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IFERROR(__xludf.DUMMYFUNCTION("IMPORTRANGE(""https://docs.google.com/spreadsheets/d/1XL5vhW3sbDhbH9Cz0tuDiY8C3ctxq1tqvaCgkFb8cCA/edit?usp=sharing"",""นครพนม!I199"")"),0)</f>
        <v>0</v>
      </c>
      <c r="J289" s="316">
        <f ca="1">IFERROR(__xludf.DUMMYFUNCTION("IMPORTRANGE(""https://docs.google.com/spreadsheets/d/1XL5vhW3sbDhbH9Cz0tuDiY8C3ctxq1tqvaCgkFb8cCA/edit?usp=sharing"",""นครพนม!J199"")"),0)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IFERROR(__xludf.DUMMYFUNCTION("IMPORTRANGE(""https://docs.google.com/spreadsheets/d/1Yj_ptqi66GCucihVvJfMjLAmec39IyEx_6qawtMGysU/edit?usp=sharing"",""สบก!CT41"")"),0)</f>
        <v>0</v>
      </c>
      <c r="N294" s="170">
        <f ca="1">IFERROR(__xludf.DUMMYFUNCTION("IMPORTRANGE(""https://docs.google.com/spreadsheets/d/1Yj_ptqi66GCucihVvJfMjLAmec39IyEx_6qawtMGysU/edit?usp=sharing"",""สบก!CU41"")"),0)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IFERROR(__xludf.DUMMYFUNCTION("IMPORTRANGE(""https://docs.google.com/spreadsheets/d/1Yj_ptqi66GCucihVvJfMjLAmec39IyEx_6qawtMGysU/edit?usp=sharing"",""สบก!CP41"")"),0)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IFERROR(__xludf.DUMMYFUNCTION("IMPORTRANGE(""https://docs.google.com/spreadsheets/d/1Yj_ptqi66GCucihVvJfMjLAmec39IyEx_6qawtMGysU/edit?usp=sharing"",""สบก!CQ41"")"),0)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IFERROR(__xludf.DUMMYFUNCTION("IMPORTRANGE(""https://docs.google.com/spreadsheets/d/1XL5vhW3sbDhbH9Cz0tuDiY8C3ctxq1tqvaCgkFb8cCA/edit?usp=sharing"",""นครพนม!I209"")"),0)</f>
        <v>0</v>
      </c>
      <c r="J304" s="205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IFERROR(__xludf.DUMMYFUNCTION("IMPORTRANGE(""https://docs.google.com/spreadsheets/d/1XL5vhW3sbDhbH9Cz0tuDiY8C3ctxq1tqvaCgkFb8cCA/edit?usp=sharing"",""นครพนม!I211"")"),0)</f>
        <v>0</v>
      </c>
      <c r="J306" s="205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IFERROR(__xludf.DUMMYFUNCTION("IMPORTRANGE(""https://docs.google.com/spreadsheets/d/1XL5vhW3sbDhbH9Cz0tuDiY8C3ctxq1tqvaCgkFb8cCA/edit?usp=sharing"",""นครพนม!I214"")"),0)</f>
        <v>0</v>
      </c>
      <c r="J309" s="333">
        <f ca="1">IFERROR(__xludf.DUMMYFUNCTION("IMPORTRANGE(""https://docs.google.com/spreadsheets/d/1XL5vhW3sbDhbH9Cz0tuDiY8C3ctxq1tqvaCgkFb8cCA/edit?usp=sharing"",""นครพนม!J214"")"),0)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IFERROR(__xludf.DUMMYFUNCTION("IMPORTRANGE(""https://docs.google.com/spreadsheets/d/1Yj_ptqi66GCucihVvJfMjLAmec39IyEx_6qawtMGysU/edit?usp=sharing"",""สบก!DC41"")"),0)</f>
        <v>0</v>
      </c>
      <c r="N314" s="170">
        <f ca="1">IFERROR(__xludf.DUMMYFUNCTION("IMPORTRANGE(""https://docs.google.com/spreadsheets/d/1Yj_ptqi66GCucihVvJfMjLAmec39IyEx_6qawtMGysU/edit?usp=sharing"",""สบก!DD41"")"),0)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IFERROR(__xludf.DUMMYFUNCTION("IMPORTRANGE(""https://docs.google.com/spreadsheets/d/1Yj_ptqi66GCucihVvJfMjLAmec39IyEx_6qawtMGysU/edit?usp=sharing"",""สบก!CY41"")"),0)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IFERROR(__xludf.DUMMYFUNCTION("IMPORTRANGE(""https://docs.google.com/spreadsheets/d/1Yj_ptqi66GCucihVvJfMjLAmec39IyEx_6qawtMGysU/edit?usp=sharing"",""สบก!CZ41"")"),0)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IFERROR(__xludf.DUMMYFUNCTION("IMPORTRANGE(""https://docs.google.com/spreadsheets/d/1XL5vhW3sbDhbH9Cz0tuDiY8C3ctxq1tqvaCgkFb8cCA/edit?usp=sharing"",""นครพนม!I224"")"),0)</f>
        <v>0</v>
      </c>
      <c r="J324" s="205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IFERROR(__xludf.DUMMYFUNCTION("IMPORTRANGE(""https://docs.google.com/spreadsheets/d/1XL5vhW3sbDhbH9Cz0tuDiY8C3ctxq1tqvaCgkFb8cCA/edit?usp=sharing"",""นครพนม!I228"")"),205)</f>
        <v>205</v>
      </c>
      <c r="J328" s="339">
        <f ca="1">IFERROR(__xludf.DUMMYFUNCTION("IMPORTRANGE(""https://docs.google.com/spreadsheets/d/1XL5vhW3sbDhbH9Cz0tuDiY8C3ctxq1tqvaCgkFb8cCA/edit?usp=sharing"",""นครพนม!J228"")"),24)</f>
        <v>24</v>
      </c>
      <c r="K328" s="317">
        <f ca="1">IF(I328&gt;0,J328*100/I328,0)</f>
        <v>11.707317073170731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892570</v>
      </c>
      <c r="M329" s="152">
        <f t="shared" ca="1" si="98"/>
        <v>532800</v>
      </c>
      <c r="N329" s="152">
        <f t="shared" ca="1" si="98"/>
        <v>395089</v>
      </c>
      <c r="O329" s="151">
        <f t="shared" ref="O329:O331" ca="1" si="99">IF(L329&gt;0,N329*100/L329,0)</f>
        <v>44.264203367803084</v>
      </c>
      <c r="P329" s="151">
        <f t="shared" ref="P329:P331" ca="1" si="100">IF(M329&gt;0,N329*100/M329,0)</f>
        <v>74.153340840840841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892570</v>
      </c>
      <c r="M331" s="157">
        <f t="shared" ca="1" si="102"/>
        <v>532800</v>
      </c>
      <c r="N331" s="157">
        <f t="shared" ca="1" si="102"/>
        <v>395089</v>
      </c>
      <c r="O331" s="156">
        <f t="shared" ca="1" si="99"/>
        <v>44.264203367803084</v>
      </c>
      <c r="P331" s="156">
        <f t="shared" ca="1" si="100"/>
        <v>74.153340840840841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793270</v>
      </c>
      <c r="M333" s="169">
        <f ca="1">IFERROR(__xludf.DUMMYFUNCTION("IMPORTRANGE(""https://docs.google.com/spreadsheets/d/1Yj_ptqi66GCucihVvJfMjLAmec39IyEx_6qawtMGysU/edit?usp=sharing"",""สบก!DL41"")"),433500)</f>
        <v>433500</v>
      </c>
      <c r="N333" s="170">
        <f ca="1">IFERROR(__xludf.DUMMYFUNCTION("IMPORTRANGE(""https://docs.google.com/spreadsheets/d/1Yj_ptqi66GCucihVvJfMjLAmec39IyEx_6qawtMGysU/edit?usp=sharing"",""สบก!DM41"")"),295789)</f>
        <v>295789</v>
      </c>
      <c r="O333" s="170">
        <f ca="1">IF(L333&gt;0,N333*100/L333,0)</f>
        <v>37.287304448674476</v>
      </c>
      <c r="P333" s="170">
        <f ca="1">IF(M333&gt;0,N333*100/M333,0)</f>
        <v>68.232756632064593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IFERROR(__xludf.DUMMYFUNCTION("IMPORTRANGE(""https://docs.google.com/spreadsheets/d/1Yj_ptqi66GCucihVvJfMjLAmec39IyEx_6qawtMGysU/edit?usp=sharing"",""สบก!DH41"")"),388800)</f>
        <v>388800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IFERROR(__xludf.DUMMYFUNCTION("IMPORTRANGE(""https://docs.google.com/spreadsheets/d/1Yj_ptqi66GCucihVvJfMjLAmec39IyEx_6qawtMGysU/edit?usp=sharing"",""สบก!DI41"")"),404470)</f>
        <v>404470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IFERROR(__xludf.DUMMYFUNCTION("IMPORTRANGE(""https://docs.google.com/spreadsheets/d/1XL5vhW3sbDhbH9Cz0tuDiY8C3ctxq1tqvaCgkFb8cCA/edit?usp=sharing"",""นครพนม!I234"")"),0)</f>
        <v>0</v>
      </c>
      <c r="J339" s="189">
        <f ca="1">IFERROR(__xludf.DUMMYFUNCTION("IMPORTRANGE(""https://docs.google.com/spreadsheets/d/1XL5vhW3sbDhbH9Cz0tuDiY8C3ctxq1tqvaCgkFb8cCA/edit?usp=sharing"",""นครพนม!J234"")"),39)</f>
        <v>39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IFERROR(__xludf.DUMMYFUNCTION("IMPORTRANGE(""https://docs.google.com/spreadsheets/d/1XL5vhW3sbDhbH9Cz0tuDiY8C3ctxq1tqvaCgkFb8cCA/edit?usp=sharing"",""นครพนม!I235"")"),2340)</f>
        <v>2340</v>
      </c>
      <c r="J340" s="189">
        <f ca="1">IFERROR(__xludf.DUMMYFUNCTION("IMPORTRANGE(""https://docs.google.com/spreadsheets/d/1XL5vhW3sbDhbH9Cz0tuDiY8C3ctxq1tqvaCgkFb8cCA/edit?usp=sharing"",""นครพนม!J235"")"),472.6)</f>
        <v>472.6</v>
      </c>
      <c r="K340" s="342">
        <f t="shared" ca="1" si="103"/>
        <v>20.196581196581196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IFERROR(__xludf.DUMMYFUNCTION("IMPORTRANGE(""https://docs.google.com/spreadsheets/d/1XL5vhW3sbDhbH9Cz0tuDiY8C3ctxq1tqvaCgkFb8cCA/edit?usp=sharing"",""นครพนม!I236"")"),205)</f>
        <v>205</v>
      </c>
      <c r="J341" s="189">
        <f ca="1">IFERROR(__xludf.DUMMYFUNCTION("IMPORTRANGE(""https://docs.google.com/spreadsheets/d/1XL5vhW3sbDhbH9Cz0tuDiY8C3ctxq1tqvaCgkFb8cCA/edit?usp=sharing"",""นครพนม!J236"")"),62)</f>
        <v>62</v>
      </c>
      <c r="K341" s="342">
        <f t="shared" ca="1" si="103"/>
        <v>30.243902439024389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9">
        <f ca="1">IFERROR(__xludf.DUMMYFUNCTION("IMPORTRANGE(""https://docs.google.com/spreadsheets/d/1XL5vhW3sbDhbH9Cz0tuDiY8C3ctxq1tqvaCgkFb8cCA/edit?usp=sharing"",""นครพนม!J237"")"),716)</f>
        <v>716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IFERROR(__xludf.DUMMYFUNCTION("IMPORTRANGE(""https://docs.google.com/spreadsheets/d/1XL5vhW3sbDhbH9Cz0tuDiY8C3ctxq1tqvaCgkFb8cCA/edit?usp=sharing"",""นครพนม!I238"")"),205)</f>
        <v>205</v>
      </c>
      <c r="J343" s="189">
        <f ca="1">IFERROR(__xludf.DUMMYFUNCTION("IMPORTRANGE(""https://docs.google.com/spreadsheets/d/1XL5vhW3sbDhbH9Cz0tuDiY8C3ctxq1tqvaCgkFb8cCA/edit?usp=sharing"",""นครพนม!J238"")"),0)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9">
        <f ca="1">IFERROR(__xludf.DUMMYFUNCTION("IMPORTRANGE(""https://docs.google.com/spreadsheets/d/1XL5vhW3sbDhbH9Cz0tuDiY8C3ctxq1tqvaCgkFb8cCA/edit?usp=sharing"",""นครพนม!J239"")"),0)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IFERROR(__xludf.DUMMYFUNCTION("IMPORTRANGE(""https://docs.google.com/spreadsheets/d/1XL5vhW3sbDhbH9Cz0tuDiY8C3ctxq1tqvaCgkFb8cCA/edit?usp=sharing"",""นครพนม!I240"")"),205)</f>
        <v>205</v>
      </c>
      <c r="J345" s="189">
        <f ca="1">IFERROR(__xludf.DUMMYFUNCTION("IMPORTRANGE(""https://docs.google.com/spreadsheets/d/1XL5vhW3sbDhbH9Cz0tuDiY8C3ctxq1tqvaCgkFb8cCA/edit?usp=sharing"",""นครพนม!J240"")"),24)</f>
        <v>24</v>
      </c>
      <c r="K345" s="342">
        <f t="shared" ca="1" si="103"/>
        <v>11.707317073170731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9">
        <f ca="1">IFERROR(__xludf.DUMMYFUNCTION("IMPORTRANGE(""https://docs.google.com/spreadsheets/d/1XL5vhW3sbDhbH9Cz0tuDiY8C3ctxq1tqvaCgkFb8cCA/edit?usp=sharing"",""นครพนม!J241"")"),318.5)</f>
        <v>318.5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IFERROR(__xludf.DUMMYFUNCTION("IMPORTRANGE(""https://docs.google.com/spreadsheets/d/1XL5vhW3sbDhbH9Cz0tuDiY8C3ctxq1tqvaCgkFb8cCA/edit?usp=sharing"",""นครพนม!M242"")"),385621.81)</f>
        <v>385621.81</v>
      </c>
      <c r="O347" s="358">
        <f ca="1">+IF(L347&gt;0,N347*100/L347,0)</f>
        <v>18.936828427600439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IFERROR(__xludf.DUMMYFUNCTION("IMPORTRANGE(""https://docs.google.com/spreadsheets/d/1XL5vhW3sbDhbH9Cz0tuDiY8C3ctxq1tqvaCgkFb8cCA/edit?usp=sharing"",""นครพนม!M244"")"),107873)</f>
        <v>107873</v>
      </c>
      <c r="O349" s="373">
        <f ca="1">+IF(L349&gt;0,N349*100/L349,0)</f>
        <v>35.938499466950958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IFERROR(__xludf.DUMMYFUNCTION("IMPORTRANGE(""https://docs.google.com/spreadsheets/d/1XL5vhW3sbDhbH9Cz0tuDiY8C3ctxq1tqvaCgkFb8cCA/edit?usp=sharing"",""นครพนม!L246"")"),0)</f>
        <v>0</v>
      </c>
      <c r="M351" s="166"/>
      <c r="N351" s="166">
        <f ca="1">IFERROR(__xludf.DUMMYFUNCTION("IMPORTRANGE(""https://docs.google.com/spreadsheets/d/1XL5vhW3sbDhbH9Cz0tuDiY8C3ctxq1tqvaCgkFb8cCA/edit?usp=sharing"",""นครพนม!M246"")"),0)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IFERROR(__xludf.DUMMYFUNCTION("IMPORTRANGE(""https://docs.google.com/spreadsheets/d/1XL5vhW3sbDhbH9Cz0tuDiY8C3ctxq1tqvaCgkFb8cCA/edit?usp=sharing"",""นครพนม!L247"")"),300160)</f>
        <v>300160</v>
      </c>
      <c r="M352" s="167"/>
      <c r="N352" s="166">
        <f ca="1">IFERROR(__xludf.DUMMYFUNCTION("IMPORTRANGE(""https://docs.google.com/spreadsheets/d/1XL5vhW3sbDhbH9Cz0tuDiY8C3ctxq1tqvaCgkFb8cCA/edit?usp=sharing"",""นครพนม!M247"")"),107873)</f>
        <v>107873</v>
      </c>
      <c r="O352" s="167">
        <f t="shared" ca="1" si="105"/>
        <v>35.938499466950958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IFERROR(__xludf.DUMMYFUNCTION("IMPORTRANGE(""https://docs.google.com/spreadsheets/d/1XL5vhW3sbDhbH9Cz0tuDiY8C3ctxq1tqvaCgkFb8cCA/edit?usp=sharing"",""นครพนม!L248"")"),0)</f>
        <v>0</v>
      </c>
      <c r="M353" s="170"/>
      <c r="N353" s="170">
        <f ca="1">IFERROR(__xludf.DUMMYFUNCTION("IMPORTRANGE(""https://docs.google.com/spreadsheets/d/1XL5vhW3sbDhbH9Cz0tuDiY8C3ctxq1tqvaCgkFb8cCA/edit?usp=sharing"",""นครพนม!M248"")"),0)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IFERROR(__xludf.DUMMYFUNCTION("IMPORTRANGE(""https://docs.google.com/spreadsheets/d/1XL5vhW3sbDhbH9Cz0tuDiY8C3ctxq1tqvaCgkFb8cCA/edit?usp=sharing"",""นครพนม!L249"")"),300160)</f>
        <v>300160</v>
      </c>
      <c r="M354" s="170"/>
      <c r="N354" s="169">
        <f ca="1">IFERROR(__xludf.DUMMYFUNCTION("IMPORTRANGE(""https://docs.google.com/spreadsheets/d/1XL5vhW3sbDhbH9Cz0tuDiY8C3ctxq1tqvaCgkFb8cCA/edit?usp=sharing"",""นครพนม!M249"")"),107873)</f>
        <v>107873</v>
      </c>
      <c r="O354" s="170">
        <f t="shared" ca="1" si="105"/>
        <v>35.938499466950958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IFERROR(__xludf.DUMMYFUNCTION("IMPORTRANGE(""https://docs.google.com/spreadsheets/d/1XL5vhW3sbDhbH9Cz0tuDiY8C3ctxq1tqvaCgkFb8cCA/edit?usp=sharing"",""นครพนม!M250"")"),16000)</f>
        <v>16000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IFERROR(__xludf.DUMMYFUNCTION("IMPORTRANGE(""https://docs.google.com/spreadsheets/d/1XL5vhW3sbDhbH9Cz0tuDiY8C3ctxq1tqvaCgkFb8cCA/edit?usp=sharing"",""นครพนม!M251"")"),32000)</f>
        <v>32000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IFERROR(__xludf.DUMMYFUNCTION("IMPORTRANGE(""https://docs.google.com/spreadsheets/d/1XL5vhW3sbDhbH9Cz0tuDiY8C3ctxq1tqvaCgkFb8cCA/edit?usp=sharing"",""นครพนม!M252"")"),52871)</f>
        <v>52871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IFERROR(__xludf.DUMMYFUNCTION("IMPORTRANGE(""https://docs.google.com/spreadsheets/d/1XL5vhW3sbDhbH9Cz0tuDiY8C3ctxq1tqvaCgkFb8cCA/edit?usp=sharing"",""นครพนม!J255"")"),0)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IFERROR(__xludf.DUMMYFUNCTION("IMPORTRANGE(""https://docs.google.com/spreadsheets/d/1XL5vhW3sbDhbH9Cz0tuDiY8C3ctxq1tqvaCgkFb8cCA/edit?usp=sharing"",""นครพนม!J256"")"),1)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IFERROR(__xludf.DUMMYFUNCTION("IMPORTRANGE(""https://docs.google.com/spreadsheets/d/1XL5vhW3sbDhbH9Cz0tuDiY8C3ctxq1tqvaCgkFb8cCA/edit?usp=sharing"",""นครพนม!J257"")"),1)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IFERROR(__xludf.DUMMYFUNCTION("IMPORTRANGE(""https://docs.google.com/spreadsheets/d/1XL5vhW3sbDhbH9Cz0tuDiY8C3ctxq1tqvaCgkFb8cCA/edit?usp=sharing"",""นครพนม!J258"")"),1)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IFERROR(__xludf.DUMMYFUNCTION("IMPORTRANGE(""https://docs.google.com/spreadsheets/d/1XL5vhW3sbDhbH9Cz0tuDiY8C3ctxq1tqvaCgkFb8cCA/edit?usp=sharing"",""นครพนม!J166"")"),0)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IFERROR(__xludf.DUMMYFUNCTION("IMPORTRANGE(""https://docs.google.com/spreadsheets/d/1XL5vhW3sbDhbH9Cz0tuDiY8C3ctxq1tqvaCgkFb8cCA/edit?usp=sharing"",""นครพนม!J166"")"),0)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IFERROR(__xludf.DUMMYFUNCTION("IMPORTRANGE(""https://docs.google.com/spreadsheets/d/1XL5vhW3sbDhbH9Cz0tuDiY8C3ctxq1tqvaCgkFb8cCA/edit?usp=sharing"",""นครพนม!J166"")"),0)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IFERROR(__xludf.DUMMYFUNCTION("IMPORTRANGE(""https://docs.google.com/spreadsheets/d/1XL5vhW3sbDhbH9Cz0tuDiY8C3ctxq1tqvaCgkFb8cCA/edit?usp=sharing"",""นครพนม!J166"")"),0)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IFERROR(__xludf.DUMMYFUNCTION("IMPORTRANGE(""https://docs.google.com/spreadsheets/d/1XL5vhW3sbDhbH9Cz0tuDiY8C3ctxq1tqvaCgkFb8cCA/edit?usp=sharing"",""นครพนม!I263"")"),40)</f>
        <v>40</v>
      </c>
      <c r="J368" s="189">
        <f ca="1">IFERROR(__xludf.DUMMYFUNCTION("IMPORTRANGE(""https://docs.google.com/spreadsheets/d/1XL5vhW3sbDhbH9Cz0tuDiY8C3ctxq1tqvaCgkFb8cCA/edit?usp=sharing"",""นครพนม!J263"")"),0)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IFERROR(__xludf.DUMMYFUNCTION("IMPORTRANGE(""https://docs.google.com/spreadsheets/d/1XL5vhW3sbDhbH9Cz0tuDiY8C3ctxq1tqvaCgkFb8cCA/edit?usp=sharing"",""นครพนม!I164"")"),0)</f>
        <v>0</v>
      </c>
      <c r="J369" s="205">
        <f ca="1">IFERROR(__xludf.DUMMYFUNCTION("IMPORTRANGE(""https://docs.google.com/spreadsheets/d/1XL5vhW3sbDhbH9Cz0tuDiY8C3ctxq1tqvaCgkFb8cCA/edit?usp=sharing"",""นครพนม!J164"")"),0)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IFERROR(__xludf.DUMMYFUNCTION("IMPORTRANGE(""https://docs.google.com/spreadsheets/d/1XL5vhW3sbDhbH9Cz0tuDiY8C3ctxq1tqvaCgkFb8cCA/edit?usp=sharing"",""นครพนม!I265"")"),40)</f>
        <v>40</v>
      </c>
      <c r="J370" s="205">
        <f ca="1">IFERROR(__xludf.DUMMYFUNCTION("IMPORTRANGE(""https://docs.google.com/spreadsheets/d/1XL5vhW3sbDhbH9Cz0tuDiY8C3ctxq1tqvaCgkFb8cCA/edit?usp=sharing"",""นครพนม!J265"")"),30)</f>
        <v>30</v>
      </c>
      <c r="K370" s="165">
        <f t="shared" ca="1" si="106"/>
        <v>75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IFERROR(__xludf.DUMMYFUNCTION("IMPORTRANGE(""https://docs.google.com/spreadsheets/d/1XL5vhW3sbDhbH9Cz0tuDiY8C3ctxq1tqvaCgkFb8cCA/edit?usp=sharing"",""นครพนม!I164"")"),0)</f>
        <v>0</v>
      </c>
      <c r="J371" s="190">
        <f ca="1">IFERROR(__xludf.DUMMYFUNCTION("IMPORTRANGE(""https://docs.google.com/spreadsheets/d/1XL5vhW3sbDhbH9Cz0tuDiY8C3ctxq1tqvaCgkFb8cCA/edit?usp=sharing"",""นครพนม!J164"")"),0)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IFERROR(__xludf.DUMMYFUNCTION("IMPORTRANGE(""https://docs.google.com/spreadsheets/d/1XL5vhW3sbDhbH9Cz0tuDiY8C3ctxq1tqvaCgkFb8cCA/edit?usp=sharing"",""นครพนม!I267"")"),40)</f>
        <v>40</v>
      </c>
      <c r="J372" s="190">
        <f ca="1">IFERROR(__xludf.DUMMYFUNCTION("IMPORTRANGE(""https://docs.google.com/spreadsheets/d/1XL5vhW3sbDhbH9Cz0tuDiY8C3ctxq1tqvaCgkFb8cCA/edit?usp=sharing"",""นครพนม!J267"")"),0)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IFERROR(__xludf.DUMMYFUNCTION("IMPORTRANGE(""https://docs.google.com/spreadsheets/d/1XL5vhW3sbDhbH9Cz0tuDiY8C3ctxq1tqvaCgkFb8cCA/edit?usp=sharing"",""นครพนม!I164"")"),0)</f>
        <v>0</v>
      </c>
      <c r="J373" s="205">
        <f ca="1">IFERROR(__xludf.DUMMYFUNCTION("IMPORTRANGE(""https://docs.google.com/spreadsheets/d/1XL5vhW3sbDhbH9Cz0tuDiY8C3ctxq1tqvaCgkFb8cCA/edit?usp=sharing"",""นครพนม!J164"")"),0)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IFERROR(__xludf.DUMMYFUNCTION("IMPORTRANGE(""https://docs.google.com/spreadsheets/d/1XL5vhW3sbDhbH9Cz0tuDiY8C3ctxq1tqvaCgkFb8cCA/edit?usp=sharing"",""นครพนม!I164"")"),0)</f>
        <v>0</v>
      </c>
      <c r="J374" s="189">
        <f ca="1">IFERROR(__xludf.DUMMYFUNCTION("IMPORTRANGE(""https://docs.google.com/spreadsheets/d/1XL5vhW3sbDhbH9Cz0tuDiY8C3ctxq1tqvaCgkFb8cCA/edit?usp=sharing"",""นครพนม!J164"")"),0)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IFERROR(__xludf.DUMMYFUNCTION("IMPORTRANGE(""https://docs.google.com/spreadsheets/d/1XL5vhW3sbDhbH9Cz0tuDiY8C3ctxq1tqvaCgkFb8cCA/edit?usp=sharing"",""นครพนม!I270"")"),80)</f>
        <v>80</v>
      </c>
      <c r="J375" s="189">
        <f ca="1">IFERROR(__xludf.DUMMYFUNCTION("IMPORTRANGE(""https://docs.google.com/spreadsheets/d/1XL5vhW3sbDhbH9Cz0tuDiY8C3ctxq1tqvaCgkFb8cCA/edit?usp=sharing"",""นครพนม!J270"")"),0)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IFERROR(__xludf.DUMMYFUNCTION("IMPORTRANGE(""https://docs.google.com/spreadsheets/d/1XL5vhW3sbDhbH9Cz0tuDiY8C3ctxq1tqvaCgkFb8cCA/edit?usp=sharing"",""นครพนม!I271"")"),20)</f>
        <v>20</v>
      </c>
      <c r="J376" s="190">
        <f ca="1">IFERROR(__xludf.DUMMYFUNCTION("IMPORTRANGE(""https://docs.google.com/spreadsheets/d/1XL5vhW3sbDhbH9Cz0tuDiY8C3ctxq1tqvaCgkFb8cCA/edit?usp=sharing"",""นครพนม!J271"")"),0)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IFERROR(__xludf.DUMMYFUNCTION("IMPORTRANGE(""https://docs.google.com/spreadsheets/d/1XL5vhW3sbDhbH9Cz0tuDiY8C3ctxq1tqvaCgkFb8cCA/edit?usp=sharing"",""นครพนม!I272"")"),60)</f>
        <v>60</v>
      </c>
      <c r="J377" s="205">
        <f ca="1">IFERROR(__xludf.DUMMYFUNCTION("IMPORTRANGE(""https://docs.google.com/spreadsheets/d/1XL5vhW3sbDhbH9Cz0tuDiY8C3ctxq1tqvaCgkFb8cCA/edit?usp=sharing"",""นครพนม!J272"")"),0)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IFERROR(__xludf.DUMMYFUNCTION("IMPORTRANGE(""https://docs.google.com/spreadsheets/d/1XL5vhW3sbDhbH9Cz0tuDiY8C3ctxq1tqvaCgkFb8cCA/edit?usp=sharing"",""นครพนม!J273"")"),0)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IFERROR(__xludf.DUMMYFUNCTION("IMPORTRANGE(""https://docs.google.com/spreadsheets/d/1XL5vhW3sbDhbH9Cz0tuDiY8C3ctxq1tqvaCgkFb8cCA/edit?usp=sharing"",""นครพนม!M275"")"),100588.65)</f>
        <v>100588.65</v>
      </c>
      <c r="O380" s="373">
        <f ca="1">+IF(L380&gt;0,N380*100/L380,0)</f>
        <v>9.7799410803873528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IFERROR(__xludf.DUMMYFUNCTION("IMPORTRANGE(""https://docs.google.com/spreadsheets/d/1XL5vhW3sbDhbH9Cz0tuDiY8C3ctxq1tqvaCgkFb8cCA/edit?usp=sharing"",""นครพนม!L277"")"),0)</f>
        <v>0</v>
      </c>
      <c r="M382" s="166"/>
      <c r="N382" s="166">
        <f ca="1">IFERROR(__xludf.DUMMYFUNCTION("IMPORTRANGE(""https://docs.google.com/spreadsheets/d/1XL5vhW3sbDhbH9Cz0tuDiY8C3ctxq1tqvaCgkFb8cCA/edit?usp=sharing"",""นครพนม!M277"")"),0)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IFERROR(__xludf.DUMMYFUNCTION("IMPORTRANGE(""https://docs.google.com/spreadsheets/d/1XL5vhW3sbDhbH9Cz0tuDiY8C3ctxq1tqvaCgkFb8cCA/edit?usp=sharing"",""นครพนม!L278"")"),1028520)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IFERROR(__xludf.DUMMYFUNCTION("IMPORTRANGE(""https://docs.google.com/spreadsheets/d/1XL5vhW3sbDhbH9Cz0tuDiY8C3ctxq1tqvaCgkFb8cCA/edit?usp=sharing"",""นครพนม!M278"")"),100588.65)</f>
        <v>100588.65</v>
      </c>
      <c r="O383" s="167">
        <f t="shared" ca="1" si="109"/>
        <v>9.7799410803873528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IFERROR(__xludf.DUMMYFUNCTION("IMPORTRANGE(""https://docs.google.com/spreadsheets/d/1XL5vhW3sbDhbH9Cz0tuDiY8C3ctxq1tqvaCgkFb8cCA/edit?usp=sharing"",""นครพนม!L279"")"),0)</f>
        <v>0</v>
      </c>
      <c r="M384" s="170"/>
      <c r="N384" s="170">
        <f ca="1">IFERROR(__xludf.DUMMYFUNCTION("IMPORTRANGE(""https://docs.google.com/spreadsheets/d/1XL5vhW3sbDhbH9Cz0tuDiY8C3ctxq1tqvaCgkFb8cCA/edit?usp=sharing"",""นครพนม!M279"")"),0)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IFERROR(__xludf.DUMMYFUNCTION("IMPORTRANGE(""https://docs.google.com/spreadsheets/d/1XL5vhW3sbDhbH9Cz0tuDiY8C3ctxq1tqvaCgkFb8cCA/edit?usp=sharing"",""นครพนม!L280"")"),1028520)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IFERROR(__xludf.DUMMYFUNCTION("IMPORTRANGE(""https://docs.google.com/spreadsheets/d/1XL5vhW3sbDhbH9Cz0tuDiY8C3ctxq1tqvaCgkFb8cCA/edit?usp=sharing"",""นครพนม!M280"")"),100588.65)</f>
        <v>100588.65</v>
      </c>
      <c r="O385" s="170">
        <f t="shared" ca="1" si="109"/>
        <v>9.7799410803873528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IFERROR(__xludf.DUMMYFUNCTION("IMPORTRANGE(""https://docs.google.com/spreadsheets/d/1XL5vhW3sbDhbH9Cz0tuDiY8C3ctxq1tqvaCgkFb8cCA/edit?usp=sharing"",""นครพนม!M281"")"),54222.13)</f>
        <v>54222.13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IFERROR(__xludf.DUMMYFUNCTION("IMPORTRANGE(""https://docs.google.com/spreadsheets/d/1XL5vhW3sbDhbH9Cz0tuDiY8C3ctxq1tqvaCgkFb8cCA/edit?usp=sharing"",""นครพนม!M282"")"),0)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IFERROR(__xludf.DUMMYFUNCTION("IMPORTRANGE(""https://docs.google.com/spreadsheets/d/1XL5vhW3sbDhbH9Cz0tuDiY8C3ctxq1tqvaCgkFb8cCA/edit?usp=sharing"",""นครพนม!M283"")"),40806.52)</f>
        <v>40806.519999999997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IFERROR(__xludf.DUMMYFUNCTION("IMPORTRANGE(""https://docs.google.com/spreadsheets/d/1XL5vhW3sbDhbH9Cz0tuDiY8C3ctxq1tqvaCgkFb8cCA/edit?usp=sharing"",""นครพนม!M284"")"),5560)</f>
        <v>5560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IFERROR(__xludf.DUMMYFUNCTION("IMPORTRANGE(""https://docs.google.com/spreadsheets/d/1XL5vhW3sbDhbH9Cz0tuDiY8C3ctxq1tqvaCgkFb8cCA/edit?usp=sharing"",""นครพนม!J286"")"),0)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IFERROR(__xludf.DUMMYFUNCTION("IMPORTRANGE(""https://docs.google.com/spreadsheets/d/1XL5vhW3sbDhbH9Cz0tuDiY8C3ctxq1tqvaCgkFb8cCA/edit?usp=sharing"",""นครพนม!J287"")"),1)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IFERROR(__xludf.DUMMYFUNCTION("IMPORTRANGE(""https://docs.google.com/spreadsheets/d/1XL5vhW3sbDhbH9Cz0tuDiY8C3ctxq1tqvaCgkFb8cCA/edit?usp=sharing"",""นครพนม!J288"")"),1)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IFERROR(__xludf.DUMMYFUNCTION("IMPORTRANGE(""https://docs.google.com/spreadsheets/d/1XL5vhW3sbDhbH9Cz0tuDiY8C3ctxq1tqvaCgkFb8cCA/edit?usp=sharing"",""นครพนม!J289"")"),1)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IFERROR(__xludf.DUMMYFUNCTION("IMPORTRANGE(""https://docs.google.com/spreadsheets/d/1XL5vhW3sbDhbH9Cz0tuDiY8C3ctxq1tqvaCgkFb8cCA/edit?usp=sharing"",""นครพนม!I291"")"),100)</f>
        <v>100</v>
      </c>
      <c r="J396" s="199">
        <f ca="1">IFERROR(__xludf.DUMMYFUNCTION("IMPORTRANGE(""https://docs.google.com/spreadsheets/d/1XL5vhW3sbDhbH9Cz0tuDiY8C3ctxq1tqvaCgkFb8cCA/edit?usp=sharing"",""นครพนม!J291"")"),100)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IFERROR(__xludf.DUMMYFUNCTION("IMPORTRANGE(""https://docs.google.com/spreadsheets/d/1XL5vhW3sbDhbH9Cz0tuDiY8C3ctxq1tqvaCgkFb8cCA/edit?usp=sharing"",""นครพนม!I292"")"),1000)</f>
        <v>1000</v>
      </c>
      <c r="J397" s="199">
        <f ca="1">IFERROR(__xludf.DUMMYFUNCTION("IMPORTRANGE(""https://docs.google.com/spreadsheets/d/1XL5vhW3sbDhbH9Cz0tuDiY8C3ctxq1tqvaCgkFb8cCA/edit?usp=sharing"",""นครพนม!J292"")"),0)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IFERROR(__xludf.DUMMYFUNCTION("IMPORTRANGE(""https://docs.google.com/spreadsheets/d/1XL5vhW3sbDhbH9Cz0tuDiY8C3ctxq1tqvaCgkFb8cCA/edit?usp=sharing"",""นครพนม!I293"")"),100)</f>
        <v>100</v>
      </c>
      <c r="J398" s="199">
        <f ca="1">IFERROR(__xludf.DUMMYFUNCTION("IMPORTRANGE(""https://docs.google.com/spreadsheets/d/1XL5vhW3sbDhbH9Cz0tuDiY8C3ctxq1tqvaCgkFb8cCA/edit?usp=sharing"",""นครพนม!J293"")"),0)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IFERROR(__xludf.DUMMYFUNCTION("IMPORTRANGE(""https://docs.google.com/spreadsheets/d/1XL5vhW3sbDhbH9Cz0tuDiY8C3ctxq1tqvaCgkFb8cCA/edit?usp=sharing"",""นครพนม!J294"")"),0)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IFERROR(__xludf.DUMMYFUNCTION("IMPORTRANGE(""https://docs.google.com/spreadsheets/d/1XL5vhW3sbDhbH9Cz0tuDiY8C3ctxq1tqvaCgkFb8cCA/edit?usp=sharing"",""นครพนม!J296"")"),30)</f>
        <v>30</v>
      </c>
      <c r="K401" s="372">
        <f t="shared" ref="K401:K402" ca="1" si="111">IF(I401&gt;0,J401*100/I401,0)</f>
        <v>25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IFERROR(__xludf.DUMMYFUNCTION("IMPORTRANGE(""https://docs.google.com/spreadsheets/d/1XL5vhW3sbDhbH9Cz0tuDiY8C3ctxq1tqvaCgkFb8cCA/edit?usp=sharing"",""นครพนม!M296"")"),38985.8)</f>
        <v>38985.800000000003</v>
      </c>
      <c r="O401" s="373">
        <f ca="1">+IF(L401&gt;0,N401*100/L401,0)</f>
        <v>26.968594355285006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IFERROR(__xludf.DUMMYFUNCTION("IMPORTRANGE(""https://docs.google.com/spreadsheets/d/1XL5vhW3sbDhbH9Cz0tuDiY8C3ctxq1tqvaCgkFb8cCA/edit?usp=sharing"",""นครพนม!J297"")"),10)</f>
        <v>10</v>
      </c>
      <c r="K402" s="372">
        <f t="shared" ca="1" si="111"/>
        <v>25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IFERROR(__xludf.DUMMYFUNCTION("IMPORTRANGE(""https://docs.google.com/spreadsheets/d/1XL5vhW3sbDhbH9Cz0tuDiY8C3ctxq1tqvaCgkFb8cCA/edit?usp=sharing"",""นครพนม!L298"")"),0)</f>
        <v>0</v>
      </c>
      <c r="M403" s="166"/>
      <c r="N403" s="170">
        <f ca="1">IFERROR(__xludf.DUMMYFUNCTION("IMPORTRANGE(""https://docs.google.com/spreadsheets/d/1XL5vhW3sbDhbH9Cz0tuDiY8C3ctxq1tqvaCgkFb8cCA/edit?usp=sharing"",""นครพนม!M298"")"),0)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IFERROR(__xludf.DUMMYFUNCTION("IMPORTRANGE(""https://docs.google.com/spreadsheets/d/1XL5vhW3sbDhbH9Cz0tuDiY8C3ctxq1tqvaCgkFb8cCA/edit?usp=sharing"",""นครพนม!L299"")"),144560)</f>
        <v>144560</v>
      </c>
      <c r="M404" s="167"/>
      <c r="N404" s="170">
        <f ca="1">IFERROR(__xludf.DUMMYFUNCTION("IMPORTRANGE(""https://docs.google.com/spreadsheets/d/1XL5vhW3sbDhbH9Cz0tuDiY8C3ctxq1tqvaCgkFb8cCA/edit?usp=sharing"",""นครพนม!M299"")"),38985.8)</f>
        <v>38985.800000000003</v>
      </c>
      <c r="O404" s="170">
        <f t="shared" ca="1" si="112"/>
        <v>26.968594355285006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IFERROR(__xludf.DUMMYFUNCTION("IMPORTRANGE(""https://docs.google.com/spreadsheets/d/1XL5vhW3sbDhbH9Cz0tuDiY8C3ctxq1tqvaCgkFb8cCA/edit?usp=sharing"",""นครพนม!L300"")"),0)</f>
        <v>0</v>
      </c>
      <c r="M405" s="170"/>
      <c r="N405" s="170">
        <f ca="1">IFERROR(__xludf.DUMMYFUNCTION("IMPORTRANGE(""https://docs.google.com/spreadsheets/d/1XL5vhW3sbDhbH9Cz0tuDiY8C3ctxq1tqvaCgkFb8cCA/edit?usp=sharing"",""นครพนม!M300"")"),0)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IFERROR(__xludf.DUMMYFUNCTION("IMPORTRANGE(""https://docs.google.com/spreadsheets/d/1XL5vhW3sbDhbH9Cz0tuDiY8C3ctxq1tqvaCgkFb8cCA/edit?usp=sharing"",""นครพนม!L301"")"),144560)</f>
        <v>144560</v>
      </c>
      <c r="M406" s="170"/>
      <c r="N406" s="170">
        <f ca="1">IFERROR(__xludf.DUMMYFUNCTION("IMPORTRANGE(""https://docs.google.com/spreadsheets/d/1XL5vhW3sbDhbH9Cz0tuDiY8C3ctxq1tqvaCgkFb8cCA/edit?usp=sharing"",""นครพนม!M301"")"),38985.8)</f>
        <v>38985.800000000003</v>
      </c>
      <c r="O406" s="170">
        <f t="shared" ca="1" si="112"/>
        <v>26.968594355285006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IFERROR(__xludf.DUMMYFUNCTION("IMPORTRANGE(""https://docs.google.com/spreadsheets/d/1XL5vhW3sbDhbH9Cz0tuDiY8C3ctxq1tqvaCgkFb8cCA/edit?usp=sharing"",""นครพนม!M302"")"),19185.8)</f>
        <v>19185.8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IFERROR(__xludf.DUMMYFUNCTION("IMPORTRANGE(""https://docs.google.com/spreadsheets/d/1XL5vhW3sbDhbH9Cz0tuDiY8C3ctxq1tqvaCgkFb8cCA/edit?usp=sharing"",""นครพนม!M303"")"),15000)</f>
        <v>15000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IFERROR(__xludf.DUMMYFUNCTION("IMPORTRANGE(""https://docs.google.com/spreadsheets/d/1XL5vhW3sbDhbH9Cz0tuDiY8C3ctxq1tqvaCgkFb8cCA/edit?usp=sharing"",""นครพนม!M305"")"),4800)</f>
        <v>4800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IFERROR(__xludf.DUMMYFUNCTION("IMPORTRANGE(""https://docs.google.com/spreadsheets/d/1XL5vhW3sbDhbH9Cz0tuDiY8C3ctxq1tqvaCgkFb8cCA/edit?usp=sharing"",""นครพนม!J307"")"),0)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IFERROR(__xludf.DUMMYFUNCTION("IMPORTRANGE(""https://docs.google.com/spreadsheets/d/1XL5vhW3sbDhbH9Cz0tuDiY8C3ctxq1tqvaCgkFb8cCA/edit?usp=sharing"",""นครพนม!J308"")"),1)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IFERROR(__xludf.DUMMYFUNCTION("IMPORTRANGE(""https://docs.google.com/spreadsheets/d/1XL5vhW3sbDhbH9Cz0tuDiY8C3ctxq1tqvaCgkFb8cCA/edit?usp=sharing"",""นครพนม!J309"")"),1)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IFERROR(__xludf.DUMMYFUNCTION("IMPORTRANGE(""https://docs.google.com/spreadsheets/d/1XL5vhW3sbDhbH9Cz0tuDiY8C3ctxq1tqvaCgkFb8cCA/edit?usp=sharing"",""นครพนม!J310"")"),1)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IFERROR(__xludf.DUMMYFUNCTION("IMPORTRANGE(""https://docs.google.com/spreadsheets/d/1XL5vhW3sbDhbH9Cz0tuDiY8C3ctxq1tqvaCgkFb8cCA/edit?usp=sharing"",""นครพนม!I311"")"),40)</f>
        <v>40</v>
      </c>
      <c r="J416" s="202">
        <f ca="1">IFERROR(__xludf.DUMMYFUNCTION("IMPORTRANGE(""https://docs.google.com/spreadsheets/d/1XL5vhW3sbDhbH9Cz0tuDiY8C3ctxq1tqvaCgkFb8cCA/edit?usp=sharing"",""นครพนม!J311"")"),10)</f>
        <v>10</v>
      </c>
      <c r="K416" s="203">
        <f t="shared" ref="K416:K432" ca="1" si="113">IF(I416&gt;0,J416*100/I416,0)</f>
        <v>25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IFERROR(__xludf.DUMMYFUNCTION("IMPORTRANGE(""https://docs.google.com/spreadsheets/d/1XL5vhW3sbDhbH9Cz0tuDiY8C3ctxq1tqvaCgkFb8cCA/edit?usp=sharing"",""นครพนม!J328"")"),0)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IFERROR(__xludf.DUMMYFUNCTION("IMPORTRANGE(""https://docs.google.com/spreadsheets/d/1XL5vhW3sbDhbH9Cz0tuDiY8C3ctxq1tqvaCgkFb8cCA/edit?usp=sharing"",""นครพนม!M330"")"),4888)</f>
        <v>4888</v>
      </c>
      <c r="O435" s="412">
        <f t="shared" ref="O435:O439" ca="1" si="114">+IF(L435&gt;0,N435*100/L435,0)</f>
        <v>4.4235294117647062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IFERROR(__xludf.DUMMYFUNCTION("IMPORTRANGE(""https://docs.google.com/spreadsheets/d/1XL5vhW3sbDhbH9Cz0tuDiY8C3ctxq1tqvaCgkFb8cCA/edit?usp=sharing"",""นครพนม!L331"")"),0)</f>
        <v>0</v>
      </c>
      <c r="M436" s="166"/>
      <c r="N436" s="170">
        <f ca="1">IFERROR(__xludf.DUMMYFUNCTION("IMPORTRANGE(""https://docs.google.com/spreadsheets/d/1XL5vhW3sbDhbH9Cz0tuDiY8C3ctxq1tqvaCgkFb8cCA/edit?usp=sharing"",""นครพนม!M331"")"),0)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IFERROR(__xludf.DUMMYFUNCTION("IMPORTRANGE(""https://docs.google.com/spreadsheets/d/1XL5vhW3sbDhbH9Cz0tuDiY8C3ctxq1tqvaCgkFb8cCA/edit?usp=sharing"",""นครพนม!L332"")"),110500)</f>
        <v>110500</v>
      </c>
      <c r="M437" s="167"/>
      <c r="N437" s="170">
        <f ca="1">IFERROR(__xludf.DUMMYFUNCTION("IMPORTRANGE(""https://docs.google.com/spreadsheets/d/1XL5vhW3sbDhbH9Cz0tuDiY8C3ctxq1tqvaCgkFb8cCA/edit?usp=sharing"",""นครพนม!M332"")"),4888)</f>
        <v>4888</v>
      </c>
      <c r="O437" s="170">
        <f t="shared" ca="1" si="114"/>
        <v>4.4235294117647062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IFERROR(__xludf.DUMMYFUNCTION("IMPORTRANGE(""https://docs.google.com/spreadsheets/d/1XL5vhW3sbDhbH9Cz0tuDiY8C3ctxq1tqvaCgkFb8cCA/edit?usp=sharing"",""นครพนม!L333"")"),0)</f>
        <v>0</v>
      </c>
      <c r="M438" s="170"/>
      <c r="N438" s="170">
        <f ca="1">IFERROR(__xludf.DUMMYFUNCTION("IMPORTRANGE(""https://docs.google.com/spreadsheets/d/1XL5vhW3sbDhbH9Cz0tuDiY8C3ctxq1tqvaCgkFb8cCA/edit?usp=sharing"",""นครพนม!M333"")"),0)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IFERROR(__xludf.DUMMYFUNCTION("IMPORTRANGE(""https://docs.google.com/spreadsheets/d/1XL5vhW3sbDhbH9Cz0tuDiY8C3ctxq1tqvaCgkFb8cCA/edit?usp=sharing"",""นครพนม!L334"")"),110500)</f>
        <v>110500</v>
      </c>
      <c r="M439" s="170"/>
      <c r="N439" s="170">
        <f ca="1">IFERROR(__xludf.DUMMYFUNCTION("IMPORTRANGE(""https://docs.google.com/spreadsheets/d/1XL5vhW3sbDhbH9Cz0tuDiY8C3ctxq1tqvaCgkFb8cCA/edit?usp=sharing"",""นครพนม!M334"")"),4888)</f>
        <v>4888</v>
      </c>
      <c r="O439" s="170">
        <f t="shared" ca="1" si="114"/>
        <v>4.4235294117647062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IFERROR(__xludf.DUMMYFUNCTION("IMPORTRANGE(""https://docs.google.com/spreadsheets/d/1XL5vhW3sbDhbH9Cz0tuDiY8C3ctxq1tqvaCgkFb8cCA/edit?usp=sharing"",""นครพนม!M335"")"),4888)</f>
        <v>4888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IFERROR(__xludf.DUMMYFUNCTION("IMPORTRANGE(""https://docs.google.com/spreadsheets/d/1XL5vhW3sbDhbH9Cz0tuDiY8C3ctxq1tqvaCgkFb8cCA/edit?usp=sharing"",""นครพนม!M338"")"),0)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IFERROR(__xludf.DUMMYFUNCTION("IMPORTRANGE(""https://docs.google.com/spreadsheets/d/1XL5vhW3sbDhbH9Cz0tuDiY8C3ctxq1tqvaCgkFb8cCA/edit?usp=sharing"",""นครพนม!J342"")"),0)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IFERROR(__xludf.DUMMYFUNCTION("IMPORTRANGE(""https://docs.google.com/spreadsheets/d/1XL5vhW3sbDhbH9Cz0tuDiY8C3ctxq1tqvaCgkFb8cCA/edit?usp=sharing"",""นครพนม!J343"")"),0)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2">
        <f ca="1">IFERROR(__xludf.DUMMYFUNCTION("IMPORTRANGE(""https://docs.google.com/spreadsheets/d/1XL5vhW3sbDhbH9Cz0tuDiY8C3ctxq1tqvaCgkFb8cCA/edit?usp=sharing"",""นครพนม!J344"")"),0)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IFERROR(__xludf.DUMMYFUNCTION("IMPORTRANGE(""https://docs.google.com/spreadsheets/d/1XL5vhW3sbDhbH9Cz0tuDiY8C3ctxq1tqvaCgkFb8cCA/edit?usp=sharing"",""นครพนม!I345"")"),25)</f>
        <v>25</v>
      </c>
      <c r="J450" s="190">
        <f ca="1">IFERROR(__xludf.DUMMYFUNCTION("IMPORTRANGE(""https://docs.google.com/spreadsheets/d/1XL5vhW3sbDhbH9Cz0tuDiY8C3ctxq1tqvaCgkFb8cCA/edit?usp=sharing"",""นครพนม!J345"")"),0)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IFERROR(__xludf.DUMMYFUNCTION("IMPORTRANGE(""https://docs.google.com/spreadsheets/d/1XL5vhW3sbDhbH9Cz0tuDiY8C3ctxq1tqvaCgkFb8cCA/edit?usp=sharing"",""นครพนม!I346"")"),0)</f>
        <v>0</v>
      </c>
      <c r="J451" s="189">
        <f ca="1">IFERROR(__xludf.DUMMYFUNCTION("IMPORTRANGE(""https://docs.google.com/spreadsheets/d/1XL5vhW3sbDhbH9Cz0tuDiY8C3ctxq1tqvaCgkFb8cCA/edit?usp=sharing"",""นครพนม!J346"")"),0)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IFERROR(__xludf.DUMMYFUNCTION("IMPORTRANGE(""https://docs.google.com/spreadsheets/d/1XL5vhW3sbDhbH9Cz0tuDiY8C3ctxq1tqvaCgkFb8cCA/edit?usp=sharing"",""นครพนม!I347"")"),0)</f>
        <v>0</v>
      </c>
      <c r="J452" s="189">
        <f ca="1">IFERROR(__xludf.DUMMYFUNCTION("IMPORTRANGE(""https://docs.google.com/spreadsheets/d/1XL5vhW3sbDhbH9Cz0tuDiY8C3ctxq1tqvaCgkFb8cCA/edit?usp=sharing"",""นครพนม!J347"")"),0)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IFERROR(__xludf.DUMMYFUNCTION("IMPORTRANGE(""https://docs.google.com/spreadsheets/d/1XL5vhW3sbDhbH9Cz0tuDiY8C3ctxq1tqvaCgkFb8cCA/edit?usp=sharing"",""นครพนม!J348"")"),0)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IFERROR(__xludf.DUMMYFUNCTION("IMPORTRANGE(""https://docs.google.com/spreadsheets/d/1XL5vhW3sbDhbH9Cz0tuDiY8C3ctxq1tqvaCgkFb8cCA/edit?usp=sharing"",""นครพนม!M350"")"),46430)</f>
        <v>46430</v>
      </c>
      <c r="O455" s="373">
        <f t="shared" ref="O455:O459" ca="1" si="116">+IF(L455&gt;0,N455*100/L455,0)</f>
        <v>16.9638909897369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IFERROR(__xludf.DUMMYFUNCTION("IMPORTRANGE(""https://docs.google.com/spreadsheets/d/1XL5vhW3sbDhbH9Cz0tuDiY8C3ctxq1tqvaCgkFb8cCA/edit?usp=sharing"",""นครพนม!L351"")"),0)</f>
        <v>0</v>
      </c>
      <c r="M456" s="166"/>
      <c r="N456" s="170">
        <f ca="1">IFERROR(__xludf.DUMMYFUNCTION("IMPORTRANGE(""https://docs.google.com/spreadsheets/d/1XL5vhW3sbDhbH9Cz0tuDiY8C3ctxq1tqvaCgkFb8cCA/edit?usp=sharing"",""นครพนม!M351"")"),0)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IFERROR(__xludf.DUMMYFUNCTION("IMPORTRANGE(""https://docs.google.com/spreadsheets/d/1XL5vhW3sbDhbH9Cz0tuDiY8C3ctxq1tqvaCgkFb8cCA/edit?usp=sharing"",""นครพนม!L352"")"),273699)</f>
        <v>273699</v>
      </c>
      <c r="M457" s="167"/>
      <c r="N457" s="170">
        <f ca="1">IFERROR(__xludf.DUMMYFUNCTION("IMPORTRANGE(""https://docs.google.com/spreadsheets/d/1XL5vhW3sbDhbH9Cz0tuDiY8C3ctxq1tqvaCgkFb8cCA/edit?usp=sharing"",""นครพนม!M352"")"),46430)</f>
        <v>46430</v>
      </c>
      <c r="O457" s="170">
        <f t="shared" ca="1" si="116"/>
        <v>16.9638909897369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IFERROR(__xludf.DUMMYFUNCTION("IMPORTRANGE(""https://docs.google.com/spreadsheets/d/1XL5vhW3sbDhbH9Cz0tuDiY8C3ctxq1tqvaCgkFb8cCA/edit?usp=sharing"",""นครพนม!L353"")"),0)</f>
        <v>0</v>
      </c>
      <c r="M458" s="170"/>
      <c r="N458" s="170">
        <f ca="1">IFERROR(__xludf.DUMMYFUNCTION("IMPORTRANGE(""https://docs.google.com/spreadsheets/d/1XL5vhW3sbDhbH9Cz0tuDiY8C3ctxq1tqvaCgkFb8cCA/edit?usp=sharing"",""นครพนม!M353"")"),0)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IFERROR(__xludf.DUMMYFUNCTION("IMPORTRANGE(""https://docs.google.com/spreadsheets/d/1XL5vhW3sbDhbH9Cz0tuDiY8C3ctxq1tqvaCgkFb8cCA/edit?usp=sharing"",""นครพนม!L354"")"),273699)</f>
        <v>273699</v>
      </c>
      <c r="M459" s="170"/>
      <c r="N459" s="170">
        <f ca="1">IFERROR(__xludf.DUMMYFUNCTION("IMPORTRANGE(""https://docs.google.com/spreadsheets/d/1XL5vhW3sbDhbH9Cz0tuDiY8C3ctxq1tqvaCgkFb8cCA/edit?usp=sharing"",""นครพนม!M354"")"),46430)</f>
        <v>46430</v>
      </c>
      <c r="O459" s="170">
        <f t="shared" ca="1" si="116"/>
        <v>16.9638909897369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IFERROR(__xludf.DUMMYFUNCTION("IMPORTRANGE(""https://docs.google.com/spreadsheets/d/1XL5vhW3sbDhbH9Cz0tuDiY8C3ctxq1tqvaCgkFb8cCA/edit?usp=sharing"",""นครพนม!M355"")"),0)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IFERROR(__xludf.DUMMYFUNCTION("IMPORTRANGE(""https://docs.google.com/spreadsheets/d/1XL5vhW3sbDhbH9Cz0tuDiY8C3ctxq1tqvaCgkFb8cCA/edit?usp=sharing"",""นครพนม!M356"")"),0)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IFERROR(__xludf.DUMMYFUNCTION("IMPORTRANGE(""https://docs.google.com/spreadsheets/d/1XL5vhW3sbDhbH9Cz0tuDiY8C3ctxq1tqvaCgkFb8cCA/edit?usp=sharing"",""นครพนม!M358"")"),46430)</f>
        <v>46430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3">
        <f t="shared" ca="1" si="117"/>
        <v>100.0033620225928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IFERROR(__xludf.DUMMYFUNCTION("IMPORTRANGE(""https://docs.google.com/spreadsheets/d/1XL5vhW3sbDhbH9Cz0tuDiY8C3ctxq1tqvaCgkFb8cCA/edit?usp=sharing"",""นครพนม!I362"")"),0)</f>
        <v>0</v>
      </c>
      <c r="J467" s="190">
        <f ca="1">IFERROR(__xludf.DUMMYFUNCTION("IMPORTRANGE(""https://docs.google.com/spreadsheets/d/1XL5vhW3sbDhbH9Cz0tuDiY8C3ctxq1tqvaCgkFb8cCA/edit?usp=sharing"",""นครพนม!J362"")"),24858)</f>
        <v>24858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IFERROR(__xludf.DUMMYFUNCTION("IMPORTRANGE(""https://docs.google.com/spreadsheets/d/1XL5vhW3sbDhbH9Cz0tuDiY8C3ctxq1tqvaCgkFb8cCA/edit?usp=sharing"",""นครพนม!I363"")"),0)</f>
        <v>0</v>
      </c>
      <c r="J468" s="190">
        <f ca="1">IFERROR(__xludf.DUMMYFUNCTION("IMPORTRANGE(""https://docs.google.com/spreadsheets/d/1XL5vhW3sbDhbH9Cz0tuDiY8C3ctxq1tqvaCgkFb8cCA/edit?usp=sharing"",""นครพนม!J363"")"),2246)</f>
        <v>2246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IFERROR(__xludf.DUMMYFUNCTION("IMPORTRANGE(""https://docs.google.com/spreadsheets/d/1XL5vhW3sbDhbH9Cz0tuDiY8C3ctxq1tqvaCgkFb8cCA/edit?usp=sharing"",""นครพนม!I364"")"),0)</f>
        <v>0</v>
      </c>
      <c r="J469" s="190">
        <f ca="1">IFERROR(__xludf.DUMMYFUNCTION("IMPORTRANGE(""https://docs.google.com/spreadsheets/d/1XL5vhW3sbDhbH9Cz0tuDiY8C3ctxq1tqvaCgkFb8cCA/edit?usp=sharing"",""นครพนม!J364"")"),4457)</f>
        <v>4457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IFERROR(__xludf.DUMMYFUNCTION("IMPORTRANGE(""https://docs.google.com/spreadsheets/d/1XL5vhW3sbDhbH9Cz0tuDiY8C3ctxq1tqvaCgkFb8cCA/edit?usp=sharing"",""นครพนม!I365"")"),0)</f>
        <v>0</v>
      </c>
      <c r="J470" s="190">
        <f ca="1">IFERROR(__xludf.DUMMYFUNCTION("IMPORTRANGE(""https://docs.google.com/spreadsheets/d/1XL5vhW3sbDhbH9Cz0tuDiY8C3ctxq1tqvaCgkFb8cCA/edit?usp=sharing"",""นครพนม!J365"")"),347)</f>
        <v>347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IFERROR(__xludf.DUMMYFUNCTION("IMPORTRANGE(""https://docs.google.com/spreadsheets/d/1XL5vhW3sbDhbH9Cz0tuDiY8C3ctxq1tqvaCgkFb8cCA/edit?usp=sharing"",""นครพนม!I366"")"),0)</f>
        <v>0</v>
      </c>
      <c r="J471" s="190">
        <f ca="1">IFERROR(__xludf.DUMMYFUNCTION("IMPORTRANGE(""https://docs.google.com/spreadsheets/d/1XL5vhW3sbDhbH9Cz0tuDiY8C3ctxq1tqvaCgkFb8cCA/edit?usp=sharing"",""นครพนม!J366"")"),430)</f>
        <v>430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IFERROR(__xludf.DUMMYFUNCTION("IMPORTRANGE(""https://docs.google.com/spreadsheets/d/1XL5vhW3sbDhbH9Cz0tuDiY8C3ctxq1tqvaCgkFb8cCA/edit?usp=sharing"",""นครพนม!I367"")"),0)</f>
        <v>0</v>
      </c>
      <c r="J472" s="190">
        <f ca="1">IFERROR(__xludf.DUMMYFUNCTION("IMPORTRANGE(""https://docs.google.com/spreadsheets/d/1XL5vhW3sbDhbH9Cz0tuDiY8C3ctxq1tqvaCgkFb8cCA/edit?usp=sharing"",""นครพนม!J367"")"),37)</f>
        <v>37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IFERROR(__xludf.DUMMYFUNCTION("IMPORTRANGE(""https://docs.google.com/spreadsheets/d/1XL5vhW3sbDhbH9Cz0tuDiY8C3ctxq1tqvaCgkFb8cCA/edit?usp=sharing"",""นครพนม!I370"")"),0)</f>
        <v>0</v>
      </c>
      <c r="J475" s="190">
        <f ca="1">IFERROR(__xludf.DUMMYFUNCTION("IMPORTRANGE(""https://docs.google.com/spreadsheets/d/1XL5vhW3sbDhbH9Cz0tuDiY8C3ctxq1tqvaCgkFb8cCA/edit?usp=sharing"",""นครพนม!J370"")"),0)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IFERROR(__xludf.DUMMYFUNCTION("IMPORTRANGE(""https://docs.google.com/spreadsheets/d/1XL5vhW3sbDhbH9Cz0tuDiY8C3ctxq1tqvaCgkFb8cCA/edit?usp=sharing"",""นครพนม!I371"")"),0)</f>
        <v>0</v>
      </c>
      <c r="J476" s="190">
        <f ca="1">IFERROR(__xludf.DUMMYFUNCTION("IMPORTRANGE(""https://docs.google.com/spreadsheets/d/1XL5vhW3sbDhbH9Cz0tuDiY8C3ctxq1tqvaCgkFb8cCA/edit?usp=sharing"",""นครพนม!J371"")"),0)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IFERROR(__xludf.DUMMYFUNCTION("IMPORTRANGE(""https://docs.google.com/spreadsheets/d/1XL5vhW3sbDhbH9Cz0tuDiY8C3ctxq1tqvaCgkFb8cCA/edit?usp=sharing"",""นครพนม!I372"")"),0)</f>
        <v>0</v>
      </c>
      <c r="J477" s="190">
        <f ca="1">IFERROR(__xludf.DUMMYFUNCTION("IMPORTRANGE(""https://docs.google.com/spreadsheets/d/1XL5vhW3sbDhbH9Cz0tuDiY8C3ctxq1tqvaCgkFb8cCA/edit?usp=sharing"",""นครพนม!J372"")"),0)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IFERROR(__xludf.DUMMYFUNCTION("IMPORTRANGE(""https://docs.google.com/spreadsheets/d/1XL5vhW3sbDhbH9Cz0tuDiY8C3ctxq1tqvaCgkFb8cCA/edit?usp=sharing"",""นครพนม!I373"")"),0)</f>
        <v>0</v>
      </c>
      <c r="J478" s="190">
        <f ca="1">IFERROR(__xludf.DUMMYFUNCTION("IMPORTRANGE(""https://docs.google.com/spreadsheets/d/1XL5vhW3sbDhbH9Cz0tuDiY8C3ctxq1tqvaCgkFb8cCA/edit?usp=sharing"",""นครพนม!J373"")"),0)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IFERROR(__xludf.DUMMYFUNCTION("IMPORTRANGE(""https://docs.google.com/spreadsheets/d/1XL5vhW3sbDhbH9Cz0tuDiY8C3ctxq1tqvaCgkFb8cCA/edit?usp=sharing"",""นครพนม!I374"")"),0)</f>
        <v>0</v>
      </c>
      <c r="J479" s="190">
        <f ca="1">IFERROR(__xludf.DUMMYFUNCTION("IMPORTRANGE(""https://docs.google.com/spreadsheets/d/1XL5vhW3sbDhbH9Cz0tuDiY8C3ctxq1tqvaCgkFb8cCA/edit?usp=sharing"",""นครพนม!J374"")"),0)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IFERROR(__xludf.DUMMYFUNCTION("IMPORTRANGE(""https://docs.google.com/spreadsheets/d/1XL5vhW3sbDhbH9Cz0tuDiY8C3ctxq1tqvaCgkFb8cCA/edit?usp=sharing"",""นครพนม!I375"")"),0)</f>
        <v>0</v>
      </c>
      <c r="J480" s="190">
        <f ca="1">IFERROR(__xludf.DUMMYFUNCTION("IMPORTRANGE(""https://docs.google.com/spreadsheets/d/1XL5vhW3sbDhbH9Cz0tuDiY8C3ctxq1tqvaCgkFb8cCA/edit?usp=sharing"",""นครพนม!J375"")"),0)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IFERROR(__xludf.DUMMYFUNCTION("IMPORTRANGE(""https://docs.google.com/spreadsheets/d/1XL5vhW3sbDhbH9Cz0tuDiY8C3ctxq1tqvaCgkFb8cCA/edit?usp=sharing"",""นครพนม!I378"")"),0)</f>
        <v>0</v>
      </c>
      <c r="J483" s="190">
        <f ca="1">IFERROR(__xludf.DUMMYFUNCTION("IMPORTRANGE(""https://docs.google.com/spreadsheets/d/1XL5vhW3sbDhbH9Cz0tuDiY8C3ctxq1tqvaCgkFb8cCA/edit?usp=sharing"",""นครพนม!J378"")"),0)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IFERROR(__xludf.DUMMYFUNCTION("IMPORTRANGE(""https://docs.google.com/spreadsheets/d/1XL5vhW3sbDhbH9Cz0tuDiY8C3ctxq1tqvaCgkFb8cCA/edit?usp=sharing"",""นครพนม!I379"")"),0)</f>
        <v>0</v>
      </c>
      <c r="J484" s="190">
        <f ca="1">IFERROR(__xludf.DUMMYFUNCTION("IMPORTRANGE(""https://docs.google.com/spreadsheets/d/1XL5vhW3sbDhbH9Cz0tuDiY8C3ctxq1tqvaCgkFb8cCA/edit?usp=sharing"",""นครพนม!J379"")"),0)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IFERROR(__xludf.DUMMYFUNCTION("IMPORTRANGE(""https://docs.google.com/spreadsheets/d/1XL5vhW3sbDhbH9Cz0tuDiY8C3ctxq1tqvaCgkFb8cCA/edit?usp=sharing"",""นครพนม!I380"")"),0)</f>
        <v>0</v>
      </c>
      <c r="J485" s="190">
        <f ca="1">IFERROR(__xludf.DUMMYFUNCTION("IMPORTRANGE(""https://docs.google.com/spreadsheets/d/1XL5vhW3sbDhbH9Cz0tuDiY8C3ctxq1tqvaCgkFb8cCA/edit?usp=sharing"",""นครพนม!J380"")"),0)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IFERROR(__xludf.DUMMYFUNCTION("IMPORTRANGE(""https://docs.google.com/spreadsheets/d/1XL5vhW3sbDhbH9Cz0tuDiY8C3ctxq1tqvaCgkFb8cCA/edit?usp=sharing"",""นครพนม!I381"")"),0)</f>
        <v>0</v>
      </c>
      <c r="J486" s="190">
        <f ca="1">IFERROR(__xludf.DUMMYFUNCTION("IMPORTRANGE(""https://docs.google.com/spreadsheets/d/1XL5vhW3sbDhbH9Cz0tuDiY8C3ctxq1tqvaCgkFb8cCA/edit?usp=sharing"",""นครพนม!J381"")"),0)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IFERROR(__xludf.DUMMYFUNCTION("IMPORTRANGE(""https://docs.google.com/spreadsheets/d/1XL5vhW3sbDhbH9Cz0tuDiY8C3ctxq1tqvaCgkFb8cCA/edit?usp=sharing"",""นครพนม!I384"")"),0)</f>
        <v>0</v>
      </c>
      <c r="J489" s="190">
        <f ca="1">IFERROR(__xludf.DUMMYFUNCTION("IMPORTRANGE(""https://docs.google.com/spreadsheets/d/1XL5vhW3sbDhbH9Cz0tuDiY8C3ctxq1tqvaCgkFb8cCA/edit?usp=sharing"",""นครพนม!J384"")"),0)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IFERROR(__xludf.DUMMYFUNCTION("IMPORTRANGE(""https://docs.google.com/spreadsheets/d/1XL5vhW3sbDhbH9Cz0tuDiY8C3ctxq1tqvaCgkFb8cCA/edit?usp=sharing"",""นครพนม!I385"")"),0)</f>
        <v>0</v>
      </c>
      <c r="J490" s="190">
        <f ca="1">IFERROR(__xludf.DUMMYFUNCTION("IMPORTRANGE(""https://docs.google.com/spreadsheets/d/1XL5vhW3sbDhbH9Cz0tuDiY8C3ctxq1tqvaCgkFb8cCA/edit?usp=sharing"",""นครพนม!J385"")"),0)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IFERROR(__xludf.DUMMYFUNCTION("IMPORTRANGE(""https://docs.google.com/spreadsheets/d/1XL5vhW3sbDhbH9Cz0tuDiY8C3ctxq1tqvaCgkFb8cCA/edit?usp=sharing"",""นครพนม!I386"")"),0)</f>
        <v>0</v>
      </c>
      <c r="J491" s="190">
        <f ca="1">IFERROR(__xludf.DUMMYFUNCTION("IMPORTRANGE(""https://docs.google.com/spreadsheets/d/1XL5vhW3sbDhbH9Cz0tuDiY8C3ctxq1tqvaCgkFb8cCA/edit?usp=sharing"",""นครพนม!J386"")"),0)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IFERROR(__xludf.DUMMYFUNCTION("IMPORTRANGE(""https://docs.google.com/spreadsheets/d/1XL5vhW3sbDhbH9Cz0tuDiY8C3ctxq1tqvaCgkFb8cCA/edit?usp=sharing"",""นครพนม!I387"")"),0)</f>
        <v>0</v>
      </c>
      <c r="J492" s="190">
        <f ca="1">IFERROR(__xludf.DUMMYFUNCTION("IMPORTRANGE(""https://docs.google.com/spreadsheets/d/1XL5vhW3sbDhbH9Cz0tuDiY8C3ctxq1tqvaCgkFb8cCA/edit?usp=sharing"",""นครพนม!J387"")"),0)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IFERROR(__xludf.DUMMYFUNCTION("IMPORTRANGE(""https://docs.google.com/spreadsheets/d/1XL5vhW3sbDhbH9Cz0tuDiY8C3ctxq1tqvaCgkFb8cCA/edit?usp=sharing"",""นครพนม!I388"")"),0)</f>
        <v>0</v>
      </c>
      <c r="J493" s="190">
        <f ca="1">IFERROR(__xludf.DUMMYFUNCTION("IMPORTRANGE(""https://docs.google.com/spreadsheets/d/1XL5vhW3sbDhbH9Cz0tuDiY8C3ctxq1tqvaCgkFb8cCA/edit?usp=sharing"",""นครพนม!J388"")"),0)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IFERROR(__xludf.DUMMYFUNCTION("IMPORTRANGE(""https://docs.google.com/spreadsheets/d/1XL5vhW3sbDhbH9Cz0tuDiY8C3ctxq1tqvaCgkFb8cCA/edit?usp=sharing"",""นครพนม!I395"")"),0)</f>
        <v>0</v>
      </c>
      <c r="J500" s="164">
        <f ca="1">IFERROR(__xludf.DUMMYFUNCTION("IMPORTRANGE(""https://docs.google.com/spreadsheets/d/1XL5vhW3sbDhbH9Cz0tuDiY8C3ctxq1tqvaCgkFb8cCA/edit?usp=sharing"",""นครพนม!J395"")"),0)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IFERROR(__xludf.DUMMYFUNCTION("IMPORTRANGE(""https://docs.google.com/spreadsheets/d/1XL5vhW3sbDhbH9Cz0tuDiY8C3ctxq1tqvaCgkFb8cCA/edit?usp=sharing"",""นครพนม!I396"")"),0)</f>
        <v>0</v>
      </c>
      <c r="J501" s="164">
        <f ca="1">IFERROR(__xludf.DUMMYFUNCTION("IMPORTRANGE(""https://docs.google.com/spreadsheets/d/1XL5vhW3sbDhbH9Cz0tuDiY8C3ctxq1tqvaCgkFb8cCA/edit?usp=sharing"",""นครพนม!J396"")"),0)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IFERROR(__xludf.DUMMYFUNCTION("IMPORTRANGE(""https://docs.google.com/spreadsheets/d/1XL5vhW3sbDhbH9Cz0tuDiY8C3ctxq1tqvaCgkFb8cCA/edit?usp=sharing"",""นครพนม!I397"")"),0)</f>
        <v>0</v>
      </c>
      <c r="J502" s="190">
        <f ca="1">IFERROR(__xludf.DUMMYFUNCTION("IMPORTRANGE(""https://docs.google.com/spreadsheets/d/1XL5vhW3sbDhbH9Cz0tuDiY8C3ctxq1tqvaCgkFb8cCA/edit?usp=sharing"",""นครพนม!J397"")"),0)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IFERROR(__xludf.DUMMYFUNCTION("IMPORTRANGE(""https://docs.google.com/spreadsheets/d/1XL5vhW3sbDhbH9Cz0tuDiY8C3ctxq1tqvaCgkFb8cCA/edit?usp=sharing"",""นครพนม!I398"")"),0)</f>
        <v>0</v>
      </c>
      <c r="J503" s="199">
        <f ca="1">IFERROR(__xludf.DUMMYFUNCTION("IMPORTRANGE(""https://docs.google.com/spreadsheets/d/1XL5vhW3sbDhbH9Cz0tuDiY8C3ctxq1tqvaCgkFb8cCA/edit?usp=sharing"",""นครพนม!J398"")"),0)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IFERROR(__xludf.DUMMYFUNCTION("IMPORTRANGE(""https://docs.google.com/spreadsheets/d/1XL5vhW3sbDhbH9Cz0tuDiY8C3ctxq1tqvaCgkFb8cCA/edit?usp=sharing"",""นครพนม!I399"")"),0)</f>
        <v>0</v>
      </c>
      <c r="J504" s="190">
        <f ca="1">IFERROR(__xludf.DUMMYFUNCTION("IMPORTRANGE(""https://docs.google.com/spreadsheets/d/1XL5vhW3sbDhbH9Cz0tuDiY8C3ctxq1tqvaCgkFb8cCA/edit?usp=sharing"",""นครพนม!J399"")"),0)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IFERROR(__xludf.DUMMYFUNCTION("IMPORTRANGE(""https://docs.google.com/spreadsheets/d/1XL5vhW3sbDhbH9Cz0tuDiY8C3ctxq1tqvaCgkFb8cCA/edit?usp=sharing"",""นครพนม!I400"")"),0)</f>
        <v>0</v>
      </c>
      <c r="J505" s="199">
        <f ca="1">IFERROR(__xludf.DUMMYFUNCTION("IMPORTRANGE(""https://docs.google.com/spreadsheets/d/1XL5vhW3sbDhbH9Cz0tuDiY8C3ctxq1tqvaCgkFb8cCA/edit?usp=sharing"",""นครพนม!J400"")"),0)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IFERROR(__xludf.DUMMYFUNCTION("IMPORTRANGE(""https://docs.google.com/spreadsheets/d/1XL5vhW3sbDhbH9Cz0tuDiY8C3ctxq1tqvaCgkFb8cCA/edit?usp=sharing"",""นครพนม!I401"")"),0)</f>
        <v>0</v>
      </c>
      <c r="J506" s="190">
        <f ca="1">IFERROR(__xludf.DUMMYFUNCTION("IMPORTRANGE(""https://docs.google.com/spreadsheets/d/1XL5vhW3sbDhbH9Cz0tuDiY8C3ctxq1tqvaCgkFb8cCA/edit?usp=sharing"",""นครพนม!J401"")"),0)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IFERROR(__xludf.DUMMYFUNCTION("IMPORTRANGE(""https://docs.google.com/spreadsheets/d/1XL5vhW3sbDhbH9Cz0tuDiY8C3ctxq1tqvaCgkFb8cCA/edit?usp=sharing"",""นครพนม!I402"")"),0)</f>
        <v>0</v>
      </c>
      <c r="J507" s="199">
        <f ca="1">IFERROR(__xludf.DUMMYFUNCTION("IMPORTRANGE(""https://docs.google.com/spreadsheets/d/1XL5vhW3sbDhbH9Cz0tuDiY8C3ctxq1tqvaCgkFb8cCA/edit?usp=sharing"",""นครพนม!J402"")"),0)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IFERROR(__xludf.DUMMYFUNCTION("IMPORTRANGE(""https://docs.google.com/spreadsheets/d/1XL5vhW3sbDhbH9Cz0tuDiY8C3ctxq1tqvaCgkFb8cCA/edit?usp=sharing"",""นครพนม!I403"")"),0)</f>
        <v>0</v>
      </c>
      <c r="J508" s="164">
        <f ca="1">IFERROR(__xludf.DUMMYFUNCTION("IMPORTRANGE(""https://docs.google.com/spreadsheets/d/1XL5vhW3sbDhbH9Cz0tuDiY8C3ctxq1tqvaCgkFb8cCA/edit?usp=sharing"",""นครพนม!J403"")"),0)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IFERROR(__xludf.DUMMYFUNCTION("IMPORTRANGE(""https://docs.google.com/spreadsheets/d/1XL5vhW3sbDhbH9Cz0tuDiY8C3ctxq1tqvaCgkFb8cCA/edit?usp=sharing"",""นครพนม!I404"")"),0)</f>
        <v>0</v>
      </c>
      <c r="J509" s="164">
        <f ca="1">IFERROR(__xludf.DUMMYFUNCTION("IMPORTRANGE(""https://docs.google.com/spreadsheets/d/1XL5vhW3sbDhbH9Cz0tuDiY8C3ctxq1tqvaCgkFb8cCA/edit?usp=sharing"",""นครพนม!J404"")"),0)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IFERROR(__xludf.DUMMYFUNCTION("IMPORTRANGE(""https://docs.google.com/spreadsheets/d/1XL5vhW3sbDhbH9Cz0tuDiY8C3ctxq1tqvaCgkFb8cCA/edit?usp=sharing"",""นครพนม!I405"")"),0)</f>
        <v>0</v>
      </c>
      <c r="J510" s="199">
        <f ca="1">IFERROR(__xludf.DUMMYFUNCTION("IMPORTRANGE(""https://docs.google.com/spreadsheets/d/1XL5vhW3sbDhbH9Cz0tuDiY8C3ctxq1tqvaCgkFb8cCA/edit?usp=sharing"",""นครพนม!J405"")"),0)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IFERROR(__xludf.DUMMYFUNCTION("IMPORTRANGE(""https://docs.google.com/spreadsheets/d/1XL5vhW3sbDhbH9Cz0tuDiY8C3ctxq1tqvaCgkFb8cCA/edit?usp=sharing"",""นครพนม!I406"")"),0)</f>
        <v>0</v>
      </c>
      <c r="J511" s="199">
        <f ca="1">IFERROR(__xludf.DUMMYFUNCTION("IMPORTRANGE(""https://docs.google.com/spreadsheets/d/1XL5vhW3sbDhbH9Cz0tuDiY8C3ctxq1tqvaCgkFb8cCA/edit?usp=sharing"",""นครพนม!J406"")"),0)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IFERROR(__xludf.DUMMYFUNCTION("IMPORTRANGE(""https://docs.google.com/spreadsheets/d/1XL5vhW3sbDhbH9Cz0tuDiY8C3ctxq1tqvaCgkFb8cCA/edit?usp=sharing"",""นครพนม!I407"")"),0)</f>
        <v>0</v>
      </c>
      <c r="J512" s="199">
        <f ca="1">IFERROR(__xludf.DUMMYFUNCTION("IMPORTRANGE(""https://docs.google.com/spreadsheets/d/1XL5vhW3sbDhbH9Cz0tuDiY8C3ctxq1tqvaCgkFb8cCA/edit?usp=sharing"",""นครพนม!J407"")"),0)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IFERROR(__xludf.DUMMYFUNCTION("IMPORTRANGE(""https://docs.google.com/spreadsheets/d/1XL5vhW3sbDhbH9Cz0tuDiY8C3ctxq1tqvaCgkFb8cCA/edit?usp=sharing"",""นครพนม!I408"")"),0)</f>
        <v>0</v>
      </c>
      <c r="J513" s="199">
        <f ca="1">IFERROR(__xludf.DUMMYFUNCTION("IMPORTRANGE(""https://docs.google.com/spreadsheets/d/1XL5vhW3sbDhbH9Cz0tuDiY8C3ctxq1tqvaCgkFb8cCA/edit?usp=sharing"",""นครพนม!J408"")"),0)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IFERROR(__xludf.DUMMYFUNCTION("IMPORTRANGE(""https://docs.google.com/spreadsheets/d/1XL5vhW3sbDhbH9Cz0tuDiY8C3ctxq1tqvaCgkFb8cCA/edit?usp=sharing"",""นครพนม!I409"")"),0)</f>
        <v>0</v>
      </c>
      <c r="J514" s="199">
        <f ca="1">IFERROR(__xludf.DUMMYFUNCTION("IMPORTRANGE(""https://docs.google.com/spreadsheets/d/1XL5vhW3sbDhbH9Cz0tuDiY8C3ctxq1tqvaCgkFb8cCA/edit?usp=sharing"",""นครพนม!J409"")"),0)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IFERROR(__xludf.DUMMYFUNCTION("IMPORTRANGE(""https://docs.google.com/spreadsheets/d/1XL5vhW3sbDhbH9Cz0tuDiY8C3ctxq1tqvaCgkFb8cCA/edit?usp=sharing"",""นครพนม!I410"")"),0)</f>
        <v>0</v>
      </c>
      <c r="J515" s="199">
        <f ca="1">IFERROR(__xludf.DUMMYFUNCTION("IMPORTRANGE(""https://docs.google.com/spreadsheets/d/1XL5vhW3sbDhbH9Cz0tuDiY8C3ctxq1tqvaCgkFb8cCA/edit?usp=sharing"",""นครพนม!J410"")"),0)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IFERROR(__xludf.DUMMYFUNCTION("IMPORTRANGE(""https://docs.google.com/spreadsheets/d/1XL5vhW3sbDhbH9Cz0tuDiY8C3ctxq1tqvaCgkFb8cCA/edit?usp=sharing"",""นครพนม!I412"")"),0)</f>
        <v>0</v>
      </c>
      <c r="J517" s="284">
        <f ca="1">IFERROR(__xludf.DUMMYFUNCTION("IMPORTRANGE(""https://docs.google.com/spreadsheets/d/1XL5vhW3sbDhbH9Cz0tuDiY8C3ctxq1tqvaCgkFb8cCA/edit?usp=sharing"",""นครพนม!J412"")"),0)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IFERROR(__xludf.DUMMYFUNCTION("IMPORTRANGE(""https://docs.google.com/spreadsheets/d/1XL5vhW3sbDhbH9Cz0tuDiY8C3ctxq1tqvaCgkFb8cCA/edit?usp=sharing"",""นครพนม!I413"")"),0)</f>
        <v>0</v>
      </c>
      <c r="J518" s="284">
        <f ca="1">IFERROR(__xludf.DUMMYFUNCTION("IMPORTRANGE(""https://docs.google.com/spreadsheets/d/1XL5vhW3sbDhbH9Cz0tuDiY8C3ctxq1tqvaCgkFb8cCA/edit?usp=sharing"",""นครพนม!J413"")"),0)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IFERROR(__xludf.DUMMYFUNCTION("IMPORTRANGE(""https://docs.google.com/spreadsheets/d/1XL5vhW3sbDhbH9Cz0tuDiY8C3ctxq1tqvaCgkFb8cCA/edit?usp=sharing"",""นครพนม!I414"")"),0)</f>
        <v>0</v>
      </c>
      <c r="J519" s="189">
        <f ca="1">IFERROR(__xludf.DUMMYFUNCTION("IMPORTRANGE(""https://docs.google.com/spreadsheets/d/1XL5vhW3sbDhbH9Cz0tuDiY8C3ctxq1tqvaCgkFb8cCA/edit?usp=sharing"",""นครพนม!J414"")"),0)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IFERROR(__xludf.DUMMYFUNCTION("IMPORTRANGE(""https://docs.google.com/spreadsheets/d/1XL5vhW3sbDhbH9Cz0tuDiY8C3ctxq1tqvaCgkFb8cCA/edit?usp=sharing"",""นครพนม!I415"")"),0)</f>
        <v>0</v>
      </c>
      <c r="J520" s="189">
        <f ca="1">IFERROR(__xludf.DUMMYFUNCTION("IMPORTRANGE(""https://docs.google.com/spreadsheets/d/1XL5vhW3sbDhbH9Cz0tuDiY8C3ctxq1tqvaCgkFb8cCA/edit?usp=sharing"",""นครพนม!J415"")"),0)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IFERROR(__xludf.DUMMYFUNCTION("IMPORTRANGE(""https://docs.google.com/spreadsheets/d/1XL5vhW3sbDhbH9Cz0tuDiY8C3ctxq1tqvaCgkFb8cCA/edit?usp=sharing"",""นครพนม!I416"")"),0)</f>
        <v>0</v>
      </c>
      <c r="J521" s="189">
        <f ca="1">IFERROR(__xludf.DUMMYFUNCTION("IMPORTRANGE(""https://docs.google.com/spreadsheets/d/1XL5vhW3sbDhbH9Cz0tuDiY8C3ctxq1tqvaCgkFb8cCA/edit?usp=sharing"",""นครพนม!J416"")"),0)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IFERROR(__xludf.DUMMYFUNCTION("IMPORTRANGE(""https://docs.google.com/spreadsheets/d/1XL5vhW3sbDhbH9Cz0tuDiY8C3ctxq1tqvaCgkFb8cCA/edit?usp=sharing"",""นครพนม!I417"")"),0)</f>
        <v>0</v>
      </c>
      <c r="J522" s="189">
        <f ca="1">IFERROR(__xludf.DUMMYFUNCTION("IMPORTRANGE(""https://docs.google.com/spreadsheets/d/1XL5vhW3sbDhbH9Cz0tuDiY8C3ctxq1tqvaCgkFb8cCA/edit?usp=sharing"",""นครพนม!J417"")"),0)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IFERROR(__xludf.DUMMYFUNCTION("IMPORTRANGE(""https://docs.google.com/spreadsheets/d/1XL5vhW3sbDhbH9Cz0tuDiY8C3ctxq1tqvaCgkFb8cCA/edit?usp=sharing"",""นครพนม!I418"")"),0)</f>
        <v>0</v>
      </c>
      <c r="J523" s="189">
        <f ca="1">IFERROR(__xludf.DUMMYFUNCTION("IMPORTRANGE(""https://docs.google.com/spreadsheets/d/1XL5vhW3sbDhbH9Cz0tuDiY8C3ctxq1tqvaCgkFb8cCA/edit?usp=sharing"",""นครพนม!J418"")"),0)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IFERROR(__xludf.DUMMYFUNCTION("IMPORTRANGE(""https://docs.google.com/spreadsheets/d/1XL5vhW3sbDhbH9Cz0tuDiY8C3ctxq1tqvaCgkFb8cCA/edit?usp=sharing"",""นครพนม!I419"")"),0)</f>
        <v>0</v>
      </c>
      <c r="J524" s="189">
        <f ca="1">IFERROR(__xludf.DUMMYFUNCTION("IMPORTRANGE(""https://docs.google.com/spreadsheets/d/1XL5vhW3sbDhbH9Cz0tuDiY8C3ctxq1tqvaCgkFb8cCA/edit?usp=sharing"",""นครพนม!J419"")"),0)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IFERROR(__xludf.DUMMYFUNCTION("IMPORTRANGE(""https://docs.google.com/spreadsheets/d/1XL5vhW3sbDhbH9Cz0tuDiY8C3ctxq1tqvaCgkFb8cCA/edit?usp=sharing"",""นครพนม!I420"")"),0)</f>
        <v>0</v>
      </c>
      <c r="J525" s="284">
        <f ca="1">IFERROR(__xludf.DUMMYFUNCTION("IMPORTRANGE(""https://docs.google.com/spreadsheets/d/1XL5vhW3sbDhbH9Cz0tuDiY8C3ctxq1tqvaCgkFb8cCA/edit?usp=sharing"",""นครพนม!J420"")"),0)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IFERROR(__xludf.DUMMYFUNCTION("IMPORTRANGE(""https://docs.google.com/spreadsheets/d/1XL5vhW3sbDhbH9Cz0tuDiY8C3ctxq1tqvaCgkFb8cCA/edit?usp=sharing"",""นครพนม!I421"")"),0)</f>
        <v>0</v>
      </c>
      <c r="J526" s="284">
        <f ca="1">IFERROR(__xludf.DUMMYFUNCTION("IMPORTRANGE(""https://docs.google.com/spreadsheets/d/1XL5vhW3sbDhbH9Cz0tuDiY8C3ctxq1tqvaCgkFb8cCA/edit?usp=sharing"",""นครพนม!J421"")"),0)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IFERROR(__xludf.DUMMYFUNCTION("IMPORTRANGE(""https://docs.google.com/spreadsheets/d/1XL5vhW3sbDhbH9Cz0tuDiY8C3ctxq1tqvaCgkFb8cCA/edit?usp=sharing"",""นครพนม!I422"")"),0)</f>
        <v>0</v>
      </c>
      <c r="J527" s="199">
        <f ca="1">IFERROR(__xludf.DUMMYFUNCTION("IMPORTRANGE(""https://docs.google.com/spreadsheets/d/1XL5vhW3sbDhbH9Cz0tuDiY8C3ctxq1tqvaCgkFb8cCA/edit?usp=sharing"",""นครพนม!J422"")"),0)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IFERROR(__xludf.DUMMYFUNCTION("IMPORTRANGE(""https://docs.google.com/spreadsheets/d/1XL5vhW3sbDhbH9Cz0tuDiY8C3ctxq1tqvaCgkFb8cCA/edit?usp=sharing"",""นครพนม!I423"")"),0)</f>
        <v>0</v>
      </c>
      <c r="J528" s="199">
        <f ca="1">IFERROR(__xludf.DUMMYFUNCTION("IMPORTRANGE(""https://docs.google.com/spreadsheets/d/1XL5vhW3sbDhbH9Cz0tuDiY8C3ctxq1tqvaCgkFb8cCA/edit?usp=sharing"",""นครพนม!J423"")"),0)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IFERROR(__xludf.DUMMYFUNCTION("IMPORTRANGE(""https://docs.google.com/spreadsheets/d/1XL5vhW3sbDhbH9Cz0tuDiY8C3ctxq1tqvaCgkFb8cCA/edit?usp=sharing"",""นครพนม!I424"")"),0)</f>
        <v>0</v>
      </c>
      <c r="J529" s="199">
        <f ca="1">IFERROR(__xludf.DUMMYFUNCTION("IMPORTRANGE(""https://docs.google.com/spreadsheets/d/1XL5vhW3sbDhbH9Cz0tuDiY8C3ctxq1tqvaCgkFb8cCA/edit?usp=sharing"",""นครพนม!J424"")"),0)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IFERROR(__xludf.DUMMYFUNCTION("IMPORTRANGE(""https://docs.google.com/spreadsheets/d/1XL5vhW3sbDhbH9Cz0tuDiY8C3ctxq1tqvaCgkFb8cCA/edit?usp=sharing"",""นครพนม!I425"")"),0)</f>
        <v>0</v>
      </c>
      <c r="J530" s="199">
        <f ca="1">IFERROR(__xludf.DUMMYFUNCTION("IMPORTRANGE(""https://docs.google.com/spreadsheets/d/1XL5vhW3sbDhbH9Cz0tuDiY8C3ctxq1tqvaCgkFb8cCA/edit?usp=sharing"",""นครพนม!J425"")"),0)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IFERROR(__xludf.DUMMYFUNCTION("IMPORTRANGE(""https://docs.google.com/spreadsheets/d/1XL5vhW3sbDhbH9Cz0tuDiY8C3ctxq1tqvaCgkFb8cCA/edit?usp=sharing"",""นครพนม!I426"")"),0)</f>
        <v>0</v>
      </c>
      <c r="J531" s="199">
        <f ca="1">IFERROR(__xludf.DUMMYFUNCTION("IMPORTRANGE(""https://docs.google.com/spreadsheets/d/1XL5vhW3sbDhbH9Cz0tuDiY8C3ctxq1tqvaCgkFb8cCA/edit?usp=sharing"",""นครพนม!J426"")"),0)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IFERROR(__xludf.DUMMYFUNCTION("IMPORTRANGE(""https://docs.google.com/spreadsheets/d/1XL5vhW3sbDhbH9Cz0tuDiY8C3ctxq1tqvaCgkFb8cCA/edit?usp=sharing"",""นครพนม!M428"")"),32090.2)</f>
        <v>32090.2</v>
      </c>
      <c r="O533" s="412">
        <f t="shared" ref="O533:O537" ca="1" si="118">+IF(L533&gt;0,N533*100/L533,0)</f>
        <v>93.448456610366918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IFERROR(__xludf.DUMMYFUNCTION("IMPORTRANGE(""https://docs.google.com/spreadsheets/d/1XL5vhW3sbDhbH9Cz0tuDiY8C3ctxq1tqvaCgkFb8cCA/edit?usp=sharing"",""นครพนม!L429"")"),0)</f>
        <v>0</v>
      </c>
      <c r="M534" s="166"/>
      <c r="N534" s="170">
        <f ca="1">IFERROR(__xludf.DUMMYFUNCTION("IMPORTRANGE(""https://docs.google.com/spreadsheets/d/1XL5vhW3sbDhbH9Cz0tuDiY8C3ctxq1tqvaCgkFb8cCA/edit?usp=sharing"",""นครพนม!M429"")"),0)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IFERROR(__xludf.DUMMYFUNCTION("IMPORTRANGE(""https://docs.google.com/spreadsheets/d/1XL5vhW3sbDhbH9Cz0tuDiY8C3ctxq1tqvaCgkFb8cCA/edit?usp=sharing"",""นครพนม!L430"")"),34340)</f>
        <v>34340</v>
      </c>
      <c r="M535" s="167"/>
      <c r="N535" s="170">
        <f ca="1">IFERROR(__xludf.DUMMYFUNCTION("IMPORTRANGE(""https://docs.google.com/spreadsheets/d/1XL5vhW3sbDhbH9Cz0tuDiY8C3ctxq1tqvaCgkFb8cCA/edit?usp=sharing"",""นครพนม!M430"")"),32090.2)</f>
        <v>32090.2</v>
      </c>
      <c r="O535" s="170">
        <f t="shared" ca="1" si="118"/>
        <v>93.448456610366918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IFERROR(__xludf.DUMMYFUNCTION("IMPORTRANGE(""https://docs.google.com/spreadsheets/d/1XL5vhW3sbDhbH9Cz0tuDiY8C3ctxq1tqvaCgkFb8cCA/edit?usp=sharing"",""นครพนม!L431"")"),0)</f>
        <v>0</v>
      </c>
      <c r="M536" s="170"/>
      <c r="N536" s="170">
        <f ca="1">IFERROR(__xludf.DUMMYFUNCTION("IMPORTRANGE(""https://docs.google.com/spreadsheets/d/1XL5vhW3sbDhbH9Cz0tuDiY8C3ctxq1tqvaCgkFb8cCA/edit?usp=sharing"",""นครพนม!M431"")"),0)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IFERROR(__xludf.DUMMYFUNCTION("IMPORTRANGE(""https://docs.google.com/spreadsheets/d/1XL5vhW3sbDhbH9Cz0tuDiY8C3ctxq1tqvaCgkFb8cCA/edit?usp=sharing"",""นครพนม!L432"")"),34340)</f>
        <v>34340</v>
      </c>
      <c r="M537" s="170"/>
      <c r="N537" s="170">
        <f ca="1">IFERROR(__xludf.DUMMYFUNCTION("IMPORTRANGE(""https://docs.google.com/spreadsheets/d/1XL5vhW3sbDhbH9Cz0tuDiY8C3ctxq1tqvaCgkFb8cCA/edit?usp=sharing"",""นครพนม!M432"")"),32090.2)</f>
        <v>32090.2</v>
      </c>
      <c r="O537" s="170">
        <f t="shared" ca="1" si="118"/>
        <v>93.448456610366918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IFERROR(__xludf.DUMMYFUNCTION("IMPORTRANGE(""https://docs.google.com/spreadsheets/d/1XL5vhW3sbDhbH9Cz0tuDiY8C3ctxq1tqvaCgkFb8cCA/edit?usp=sharing"",""นครพนม!M436"")"),13350.2)</f>
        <v>13350.2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IFERROR(__xludf.DUMMYFUNCTION("IMPORTRANGE(""https://docs.google.com/spreadsheets/d/1XL5vhW3sbDhbH9Cz0tuDiY8C3ctxq1tqvaCgkFb8cCA/edit?usp=sharing"",""นครพนม!J438"")"),0)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IFERROR(__xludf.DUMMYFUNCTION("IMPORTRANGE(""https://docs.google.com/spreadsheets/d/1XL5vhW3sbDhbH9Cz0tuDiY8C3ctxq1tqvaCgkFb8cCA/edit?usp=sharing"",""นครพนม!J439"")"),1)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IFERROR(__xludf.DUMMYFUNCTION("IMPORTRANGE(""https://docs.google.com/spreadsheets/d/1XL5vhW3sbDhbH9Cz0tuDiY8C3ctxq1tqvaCgkFb8cCA/edit?usp=sharing"",""นครพนม!J440"")"),1)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IFERROR(__xludf.DUMMYFUNCTION("IMPORTRANGE(""https://docs.google.com/spreadsheets/d/1XL5vhW3sbDhbH9Cz0tuDiY8C3ctxq1tqvaCgkFb8cCA/edit?usp=sharing"",""นครพนม!J441"")"),1)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IFERROR(__xludf.DUMMYFUNCTION("IMPORTRANGE(""https://docs.google.com/spreadsheets/d/1XL5vhW3sbDhbH9Cz0tuDiY8C3ctxq1tqvaCgkFb8cCA/edit?usp=sharing"",""นครพนม!I442"")"),22)</f>
        <v>22</v>
      </c>
      <c r="J547" s="190">
        <f ca="1">IFERROR(__xludf.DUMMYFUNCTION("IMPORTRANGE(""https://docs.google.com/spreadsheets/d/1XL5vhW3sbDhbH9Cz0tuDiY8C3ctxq1tqvaCgkFb8cCA/edit?usp=sharing"",""นครพนม!J442"")"),22)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IFERROR(__xludf.DUMMYFUNCTION("IMPORTRANGE(""https://docs.google.com/spreadsheets/d/1XL5vhW3sbDhbH9Cz0tuDiY8C3ctxq1tqvaCgkFb8cCA/edit?usp=sharing"",""นครพนม!J166"")"),0)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IFERROR(__xludf.DUMMYFUNCTION("IMPORTRANGE(""https://docs.google.com/spreadsheets/d/1XL5vhW3sbDhbH9Cz0tuDiY8C3ctxq1tqvaCgkFb8cCA/edit?usp=sharing"",""นครพนม!J444"")"),0)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IFERROR(__xludf.DUMMYFUNCTION("IMPORTRANGE(""https://docs.google.com/spreadsheets/d/1XL5vhW3sbDhbH9Cz0tuDiY8C3ctxq1tqvaCgkFb8cCA/edit?usp=sharing"",""นครพนม!L447"")"),0)</f>
        <v>0</v>
      </c>
      <c r="M552" s="166"/>
      <c r="N552" s="170">
        <f ca="1">IFERROR(__xludf.DUMMYFUNCTION("IMPORTRANGE(""https://docs.google.com/spreadsheets/d/1XL5vhW3sbDhbH9Cz0tuDiY8C3ctxq1tqvaCgkFb8cCA/edit?usp=sharing"",""นครพนม!M447"")"),0)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IFERROR(__xludf.DUMMYFUNCTION("IMPORTRANGE(""https://docs.google.com/spreadsheets/d/1XL5vhW3sbDhbH9Cz0tuDiY8C3ctxq1tqvaCgkFb8cCA/edit?usp=sharing"",""นครพนม!L448"")"),0)</f>
        <v>0</v>
      </c>
      <c r="M553" s="167"/>
      <c r="N553" s="170">
        <f ca="1">IFERROR(__xludf.DUMMYFUNCTION("IMPORTRANGE(""https://docs.google.com/spreadsheets/d/1XL5vhW3sbDhbH9Cz0tuDiY8C3ctxq1tqvaCgkFb8cCA/edit?usp=sharing"",""นครพนม!M448"")"),0)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IFERROR(__xludf.DUMMYFUNCTION("IMPORTRANGE(""https://docs.google.com/spreadsheets/d/1XL5vhW3sbDhbH9Cz0tuDiY8C3ctxq1tqvaCgkFb8cCA/edit?usp=sharing"",""นครพนม!L449"")"),0)</f>
        <v>0</v>
      </c>
      <c r="M554" s="170"/>
      <c r="N554" s="170">
        <f ca="1">IFERROR(__xludf.DUMMYFUNCTION("IMPORTRANGE(""https://docs.google.com/spreadsheets/d/1XL5vhW3sbDhbH9Cz0tuDiY8C3ctxq1tqvaCgkFb8cCA/edit?usp=sharing"",""นครพนม!M449"")"),0)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IFERROR(__xludf.DUMMYFUNCTION("IMPORTRANGE(""https://docs.google.com/spreadsheets/d/1XL5vhW3sbDhbH9Cz0tuDiY8C3ctxq1tqvaCgkFb8cCA/edit?usp=sharing"",""นครพนม!L450"")"),0)</f>
        <v>0</v>
      </c>
      <c r="M555" s="170"/>
      <c r="N555" s="170">
        <f ca="1">IFERROR(__xludf.DUMMYFUNCTION("IMPORTRANGE(""https://docs.google.com/spreadsheets/d/1XL5vhW3sbDhbH9Cz0tuDiY8C3ctxq1tqvaCgkFb8cCA/edit?usp=sharing"",""นครพนม!M450"")"),0)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IFERROR(__xludf.DUMMYFUNCTION("IMPORTRANGE(""https://docs.google.com/spreadsheets/d/1XL5vhW3sbDhbH9Cz0tuDiY8C3ctxq1tqvaCgkFb8cCA/edit?usp=sharing"",""นครพนม!M451"")"),0)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IFERROR(__xludf.DUMMYFUNCTION("IMPORTRANGE(""https://docs.google.com/spreadsheets/d/1XL5vhW3sbDhbH9Cz0tuDiY8C3ctxq1tqvaCgkFb8cCA/edit?usp=sharing"",""นครพนม!M452"")"),0)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IFERROR(__xludf.DUMMYFUNCTION("IMPORTRANGE(""https://docs.google.com/spreadsheets/d/1XL5vhW3sbDhbH9Cz0tuDiY8C3ctxq1tqvaCgkFb8cCA/edit?usp=sharing"",""นครพนม!M453"")"),0)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IFERROR(__xludf.DUMMYFUNCTION("IMPORTRANGE(""https://docs.google.com/spreadsheets/d/1XL5vhW3sbDhbH9Cz0tuDiY8C3ctxq1tqvaCgkFb8cCA/edit?usp=sharing"",""นครพนม!M454"")"),0)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IFERROR(__xludf.DUMMYFUNCTION("IMPORTRANGE(""https://docs.google.com/spreadsheets/d/1XL5vhW3sbDhbH9Cz0tuDiY8C3ctxq1tqvaCgkFb8cCA/edit?usp=sharing"",""นครพนม!I455"")"),0)</f>
        <v>0</v>
      </c>
      <c r="J560" s="164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IFERROR(__xludf.DUMMYFUNCTION("IMPORTRANGE(""https://docs.google.com/spreadsheets/d/1XL5vhW3sbDhbH9Cz0tuDiY8C3ctxq1tqvaCgkFb8cCA/edit?usp=sharing"",""นครพนม!I456"")"),0)</f>
        <v>0</v>
      </c>
      <c r="J561" s="205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IFERROR(__xludf.DUMMYFUNCTION("IMPORTRANGE(""https://docs.google.com/spreadsheets/d/1XL5vhW3sbDhbH9Cz0tuDiY8C3ctxq1tqvaCgkFb8cCA/edit?usp=sharing"",""นครพนม!I457"")"),0)</f>
        <v>0</v>
      </c>
      <c r="J562" s="205" t="str">
        <f ca="1">IFERROR(__xludf.DUMMYFUNCTION("IMPORTRANGE(""https://docs.google.com/spreadsheets/d/1XL5vhW3sbDhbH9Cz0tuDiY8C3ctxq1tqvaCgkFb8cCA/edit?usp=sharing"",""นครพนม!J457"")"),"")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IFERROR(__xludf.DUMMYFUNCTION("IMPORTRANGE(""https://docs.google.com/spreadsheets/d/1XL5vhW3sbDhbH9Cz0tuDiY8C3ctxq1tqvaCgkFb8cCA/edit?usp=sharing"",""นครพนม!I458"")"),0)</f>
        <v>0</v>
      </c>
      <c r="J563" s="189" t="str">
        <f ca="1">IFERROR(__xludf.DUMMYFUNCTION("IMPORTRANGE(""https://docs.google.com/spreadsheets/d/1XL5vhW3sbDhbH9Cz0tuDiY8C3ctxq1tqvaCgkFb8cCA/edit?usp=sharing"",""นครพนม!J458"")"),"")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IFERROR(__xludf.DUMMYFUNCTION("IMPORTRANGE(""https://docs.google.com/spreadsheets/d/1XL5vhW3sbDhbH9Cz0tuDiY8C3ctxq1tqvaCgkFb8cCA/edit?usp=sharing"",""นครพนม!J459"")"),1051)</f>
        <v>1051</v>
      </c>
      <c r="K564" s="372">
        <f t="shared" ca="1" si="121"/>
        <v>87.583333333333329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IFERROR(__xludf.DUMMYFUNCTION("IMPORTRANGE(""https://docs.google.com/spreadsheets/d/1XL5vhW3sbDhbH9Cz0tuDiY8C3ctxq1tqvaCgkFb8cCA/edit?usp=sharing"",""นครพนม!M459"")"),53416.16)</f>
        <v>53416.160000000003</v>
      </c>
      <c r="O564" s="373">
        <f t="shared" ref="O564:O568" ca="1" si="122">+IF(L564&gt;0,N564*100/L564,0)</f>
        <v>41.575466998754671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IFERROR(__xludf.DUMMYFUNCTION("IMPORTRANGE(""https://docs.google.com/spreadsheets/d/1XL5vhW3sbDhbH9Cz0tuDiY8C3ctxq1tqvaCgkFb8cCA/edit?usp=sharing"",""นครพนม!L460"")"),0)</f>
        <v>0</v>
      </c>
      <c r="M565" s="166"/>
      <c r="N565" s="170">
        <f ca="1">IFERROR(__xludf.DUMMYFUNCTION("IMPORTRANGE(""https://docs.google.com/spreadsheets/d/1XL5vhW3sbDhbH9Cz0tuDiY8C3ctxq1tqvaCgkFb8cCA/edit?usp=sharing"",""นครพนม!M460"")"),0)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IFERROR(__xludf.DUMMYFUNCTION("IMPORTRANGE(""https://docs.google.com/spreadsheets/d/1XL5vhW3sbDhbH9Cz0tuDiY8C3ctxq1tqvaCgkFb8cCA/edit?usp=sharing"",""นครพนม!L461"")"),128480)</f>
        <v>128480</v>
      </c>
      <c r="M566" s="167"/>
      <c r="N566" s="170">
        <f ca="1">IFERROR(__xludf.DUMMYFUNCTION("IMPORTRANGE(""https://docs.google.com/spreadsheets/d/1XL5vhW3sbDhbH9Cz0tuDiY8C3ctxq1tqvaCgkFb8cCA/edit?usp=sharing"",""นครพนม!M461"")"),53416.16)</f>
        <v>53416.160000000003</v>
      </c>
      <c r="O566" s="170">
        <f t="shared" ca="1" si="122"/>
        <v>41.575466998754671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IFERROR(__xludf.DUMMYFUNCTION("IMPORTRANGE(""https://docs.google.com/spreadsheets/d/1XL5vhW3sbDhbH9Cz0tuDiY8C3ctxq1tqvaCgkFb8cCA/edit?usp=sharing"",""นครพนม!L462"")"),0)</f>
        <v>0</v>
      </c>
      <c r="M567" s="170"/>
      <c r="N567" s="170">
        <f ca="1">IFERROR(__xludf.DUMMYFUNCTION("IMPORTRANGE(""https://docs.google.com/spreadsheets/d/1XL5vhW3sbDhbH9Cz0tuDiY8C3ctxq1tqvaCgkFb8cCA/edit?usp=sharing"",""นครพนม!M462"")"),0)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IFERROR(__xludf.DUMMYFUNCTION("IMPORTRANGE(""https://docs.google.com/spreadsheets/d/1XL5vhW3sbDhbH9Cz0tuDiY8C3ctxq1tqvaCgkFb8cCA/edit?usp=sharing"",""นครพนม!L463"")"),128480)</f>
        <v>128480</v>
      </c>
      <c r="M568" s="170"/>
      <c r="N568" s="170">
        <f ca="1">IFERROR(__xludf.DUMMYFUNCTION("IMPORTRANGE(""https://docs.google.com/spreadsheets/d/1XL5vhW3sbDhbH9Cz0tuDiY8C3ctxq1tqvaCgkFb8cCA/edit?usp=sharing"",""นครพนม!M463"")"),53416.16)</f>
        <v>53416.160000000003</v>
      </c>
      <c r="O568" s="170">
        <f t="shared" ca="1" si="122"/>
        <v>41.575466998754671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IFERROR(__xludf.DUMMYFUNCTION("IMPORTRANGE(""https://docs.google.com/spreadsheets/d/1XL5vhW3sbDhbH9Cz0tuDiY8C3ctxq1tqvaCgkFb8cCA/edit?usp=sharing"",""นครพนม!M464"")"),0)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IFERROR(__xludf.DUMMYFUNCTION("IMPORTRANGE(""https://docs.google.com/spreadsheets/d/1XL5vhW3sbDhbH9Cz0tuDiY8C3ctxq1tqvaCgkFb8cCA/edit?usp=sharing"",""นครพนม!M465"")"),0)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IFERROR(__xludf.DUMMYFUNCTION("IMPORTRANGE(""https://docs.google.com/spreadsheets/d/1XL5vhW3sbDhbH9Cz0tuDiY8C3ctxq1tqvaCgkFb8cCA/edit?usp=sharing"",""นครพนม!M466"")"),52516.16)</f>
        <v>52516.160000000003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IFERROR(__xludf.DUMMYFUNCTION("IMPORTRANGE(""https://docs.google.com/spreadsheets/d/1XL5vhW3sbDhbH9Cz0tuDiY8C3ctxq1tqvaCgkFb8cCA/edit?usp=sharing"",""นครพนม!J468"")"),1051)</f>
        <v>1051</v>
      </c>
      <c r="K573" s="203">
        <f ca="1">IF(I573&gt;0,J573*100/I573,0)</f>
        <v>87.583333333333329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IFERROR(__xludf.DUMMYFUNCTION("IMPORTRANGE(""https://docs.google.com/spreadsheets/d/1XL5vhW3sbDhbH9Cz0tuDiY8C3ctxq1tqvaCgkFb8cCA/edit?usp=sharing"",""นครพนม!I470"")"),0)</f>
        <v>0</v>
      </c>
      <c r="J575" s="199">
        <f ca="1">IFERROR(__xludf.DUMMYFUNCTION("IMPORTRANGE(""https://docs.google.com/spreadsheets/d/1XL5vhW3sbDhbH9Cz0tuDiY8C3ctxq1tqvaCgkFb8cCA/edit?usp=sharing"",""นครพนม!J470"")"),1)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IFERROR(__xludf.DUMMYFUNCTION("IMPORTRANGE(""https://docs.google.com/spreadsheets/d/1XL5vhW3sbDhbH9Cz0tuDiY8C3ctxq1tqvaCgkFb8cCA/edit?usp=sharing"",""นครพนม!I471"")"),0)</f>
        <v>0</v>
      </c>
      <c r="J576" s="199">
        <f ca="1">IFERROR(__xludf.DUMMYFUNCTION("IMPORTRANGE(""https://docs.google.com/spreadsheets/d/1XL5vhW3sbDhbH9Cz0tuDiY8C3ctxq1tqvaCgkFb8cCA/edit?usp=sharing"",""นครพนม!J471"")"),138)</f>
        <v>138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IFERROR(__xludf.DUMMYFUNCTION("IMPORTRANGE(""https://docs.google.com/spreadsheets/d/1XL5vhW3sbDhbH9Cz0tuDiY8C3ctxq1tqvaCgkFb8cCA/edit?usp=sharing"",""นครพนม!I472"")"),0)</f>
        <v>0</v>
      </c>
      <c r="J577" s="190">
        <f ca="1">IFERROR(__xludf.DUMMYFUNCTION("IMPORTRANGE(""https://docs.google.com/spreadsheets/d/1XL5vhW3sbDhbH9Cz0tuDiY8C3ctxq1tqvaCgkFb8cCA/edit?usp=sharing"",""นครพนม!J472"")"),913)</f>
        <v>913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IFERROR(__xludf.DUMMYFUNCTION("IMPORTRANGE(""https://docs.google.com/spreadsheets/d/1XL5vhW3sbDhbH9Cz0tuDiY8C3ctxq1tqvaCgkFb8cCA/edit?usp=sharing"",""นครพนม!I473"")"),0)</f>
        <v>0</v>
      </c>
      <c r="J578" s="199">
        <f ca="1">IFERROR(__xludf.DUMMYFUNCTION("IMPORTRANGE(""https://docs.google.com/spreadsheets/d/1XL5vhW3sbDhbH9Cz0tuDiY8C3ctxq1tqvaCgkFb8cCA/edit?usp=sharing"",""นครพนม!J473"")"),0)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IFERROR(__xludf.DUMMYFUNCTION("IMPORTRANGE(""https://docs.google.com/spreadsheets/d/1XL5vhW3sbDhbH9Cz0tuDiY8C3ctxq1tqvaCgkFb8cCA/edit?usp=sharing"",""นครพนม!I474"")"),0)</f>
        <v>0</v>
      </c>
      <c r="J579" s="199">
        <f ca="1">IFERROR(__xludf.DUMMYFUNCTION("IMPORTRANGE(""https://docs.google.com/spreadsheets/d/1XL5vhW3sbDhbH9Cz0tuDiY8C3ctxq1tqvaCgkFb8cCA/edit?usp=sharing"",""นครพนม!J474"")"),0)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IFERROR(__xludf.DUMMYFUNCTION("IMPORTRANGE(""https://docs.google.com/spreadsheets/d/1XL5vhW3sbDhbH9Cz0tuDiY8C3ctxq1tqvaCgkFb8cCA/edit?usp=sharing"",""นครพนม!L476"")"),0)</f>
        <v>0</v>
      </c>
      <c r="M581" s="166"/>
      <c r="N581" s="170">
        <f ca="1">IFERROR(__xludf.DUMMYFUNCTION("IMPORTRANGE(""https://docs.google.com/spreadsheets/d/1XL5vhW3sbDhbH9Cz0tuDiY8C3ctxq1tqvaCgkFb8cCA/edit?usp=sharing"",""นครพนม!M476"")"),0)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IFERROR(__xludf.DUMMYFUNCTION("IMPORTRANGE(""https://docs.google.com/spreadsheets/d/1XL5vhW3sbDhbH9Cz0tuDiY8C3ctxq1tqvaCgkFb8cCA/edit?usp=sharing"",""นครพนม!L477"")"),0)</f>
        <v>0</v>
      </c>
      <c r="M582" s="167"/>
      <c r="N582" s="170">
        <f ca="1">IFERROR(__xludf.DUMMYFUNCTION("IMPORTRANGE(""https://docs.google.com/spreadsheets/d/1XL5vhW3sbDhbH9Cz0tuDiY8C3ctxq1tqvaCgkFb8cCA/edit?usp=sharing"",""นครพนม!M477"")"),0)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IFERROR(__xludf.DUMMYFUNCTION("IMPORTRANGE(""https://docs.google.com/spreadsheets/d/1XL5vhW3sbDhbH9Cz0tuDiY8C3ctxq1tqvaCgkFb8cCA/edit?usp=sharing"",""นครพนม!L478"")"),0)</f>
        <v>0</v>
      </c>
      <c r="M583" s="170"/>
      <c r="N583" s="170">
        <f ca="1">IFERROR(__xludf.DUMMYFUNCTION("IMPORTRANGE(""https://docs.google.com/spreadsheets/d/1XL5vhW3sbDhbH9Cz0tuDiY8C3ctxq1tqvaCgkFb8cCA/edit?usp=sharing"",""นครพนม!M478"")"),0)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IFERROR(__xludf.DUMMYFUNCTION("IMPORTRANGE(""https://docs.google.com/spreadsheets/d/1XL5vhW3sbDhbH9Cz0tuDiY8C3ctxq1tqvaCgkFb8cCA/edit?usp=sharing"",""นครพนม!L479"")"),0)</f>
        <v>0</v>
      </c>
      <c r="M584" s="170"/>
      <c r="N584" s="170">
        <f ca="1">IFERROR(__xludf.DUMMYFUNCTION("IMPORTRANGE(""https://docs.google.com/spreadsheets/d/1XL5vhW3sbDhbH9Cz0tuDiY8C3ctxq1tqvaCgkFb8cCA/edit?usp=sharing"",""นครพนม!M479"")"),0)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IFERROR(__xludf.DUMMYFUNCTION("IMPORTRANGE(""https://docs.google.com/spreadsheets/d/1XL5vhW3sbDhbH9Cz0tuDiY8C3ctxq1tqvaCgkFb8cCA/edit?usp=sharing"",""นครพนม!M480"")"),0)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IFERROR(__xludf.DUMMYFUNCTION("IMPORTRANGE(""https://docs.google.com/spreadsheets/d/1XL5vhW3sbDhbH9Cz0tuDiY8C3ctxq1tqvaCgkFb8cCA/edit?usp=sharing"",""นครพนม!M481"")"),0)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IFERROR(__xludf.DUMMYFUNCTION("IMPORTRANGE(""https://docs.google.com/spreadsheets/d/1XL5vhW3sbDhbH9Cz0tuDiY8C3ctxq1tqvaCgkFb8cCA/edit?usp=sharing"",""นครพนม!M482"")"),0)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IFERROR(__xludf.DUMMYFUNCTION("IMPORTRANGE(""https://docs.google.com/spreadsheets/d/1XL5vhW3sbDhbH9Cz0tuDiY8C3ctxq1tqvaCgkFb8cCA/edit?usp=sharing"",""นครพนม!M483"")"),0)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IFERROR(__xludf.DUMMYFUNCTION("IMPORTRANGE(""https://docs.google.com/spreadsheets/d/1XL5vhW3sbDhbH9Cz0tuDiY8C3ctxq1tqvaCgkFb8cCA/edit?usp=sharing"",""นครพนม!I484"")"),0)</f>
        <v>0</v>
      </c>
      <c r="J589" s="189">
        <f ca="1">IFERROR(__xludf.DUMMYFUNCTION("IMPORTRANGE(""https://docs.google.com/spreadsheets/d/1XL5vhW3sbDhbH9Cz0tuDiY8C3ctxq1tqvaCgkFb8cCA/edit?usp=sharing"",""นครพนม!J484"")"),7)</f>
        <v>7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9">
        <f ca="1">IFERROR(__xludf.DUMMYFUNCTION("IMPORTRANGE(""https://docs.google.com/spreadsheets/d/1XL5vhW3sbDhbH9Cz0tuDiY8C3ctxq1tqvaCgkFb8cCA/edit?usp=sharing"",""นครพนม!J485"")"),2.85)</f>
        <v>2.85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IFERROR(__xludf.DUMMYFUNCTION("IMPORTRANGE(""https://docs.google.com/spreadsheets/d/1XL5vhW3sbDhbH9Cz0tuDiY8C3ctxq1tqvaCgkFb8cCA/edit?usp=sharing"",""นครพนม!I486"")"),0)</f>
        <v>0</v>
      </c>
      <c r="J591" s="189">
        <f ca="1">IFERROR(__xludf.DUMMYFUNCTION("IMPORTRANGE(""https://docs.google.com/spreadsheets/d/1XL5vhW3sbDhbH9Cz0tuDiY8C3ctxq1tqvaCgkFb8cCA/edit?usp=sharing"",""นครพนม!J486"")"),1)</f>
        <v>1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189">
        <f ca="1">IFERROR(__xludf.DUMMYFUNCTION("IMPORTRANGE(""https://docs.google.com/spreadsheets/d/1XL5vhW3sbDhbH9Cz0tuDiY8C3ctxq1tqvaCgkFb8cCA/edit?usp=sharing"",""นครพนม!J487"")"),0.15)</f>
        <v>0.15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IFERROR(__xludf.DUMMYFUNCTION("IMPORTRANGE(""https://docs.google.com/spreadsheets/d/1XL5vhW3sbDhbH9Cz0tuDiY8C3ctxq1tqvaCgkFb8cCA/edit?usp=sharing"",""นครพนม!I488"")"),0)</f>
        <v>0</v>
      </c>
      <c r="J593" s="189">
        <f ca="1">IFERROR(__xludf.DUMMYFUNCTION("IMPORTRANGE(""https://docs.google.com/spreadsheets/d/1XL5vhW3sbDhbH9Cz0tuDiY8C3ctxq1tqvaCgkFb8cCA/edit?usp=sharing"",""นครพนม!J488"")"),0)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9">
        <f ca="1">IFERROR(__xludf.DUMMYFUNCTION("IMPORTRANGE(""https://docs.google.com/spreadsheets/d/1XL5vhW3sbDhbH9Cz0tuDiY8C3ctxq1tqvaCgkFb8cCA/edit?usp=sharing"",""นครพนม!J489"")"),0)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IFERROR(__xludf.DUMMYFUNCTION("IMPORTRANGE(""https://docs.google.com/spreadsheets/d/1XL5vhW3sbDhbH9Cz0tuDiY8C3ctxq1tqvaCgkFb8cCA/edit?usp=sharing"",""นครพนม!I490"")"),0)</f>
        <v>0</v>
      </c>
      <c r="J595" s="189">
        <f ca="1">IFERROR(__xludf.DUMMYFUNCTION("IMPORTRANGE(""https://docs.google.com/spreadsheets/d/1XL5vhW3sbDhbH9Cz0tuDiY8C3ctxq1tqvaCgkFb8cCA/edit?usp=sharing"",""นครพนม!J490"")"),0)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7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IFERROR(__xludf.DUMMYFUNCTION("IMPORTRANGE(""https://docs.google.com/spreadsheets/d/1XL5vhW3sbDhbH9Cz0tuDiY8C3ctxq1tqvaCgkFb8cCA/edit?usp=sharing"",""นครพนม!L493"")"),0)</f>
        <v>0</v>
      </c>
      <c r="M598" s="166"/>
      <c r="N598" s="170">
        <f ca="1">IFERROR(__xludf.DUMMYFUNCTION("IMPORTRANGE(""https://docs.google.com/spreadsheets/d/1XL5vhW3sbDhbH9Cz0tuDiY8C3ctxq1tqvaCgkFb8cCA/edit?usp=sharing"",""นครพนม!M493"")"),0)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IFERROR(__xludf.DUMMYFUNCTION("IMPORTRANGE(""https://docs.google.com/spreadsheets/d/1XL5vhW3sbDhbH9Cz0tuDiY8C3ctxq1tqvaCgkFb8cCA/edit?usp=sharing"",""นครพนม!L494"")"),16100)</f>
        <v>16100</v>
      </c>
      <c r="M599" s="167"/>
      <c r="N599" s="170">
        <f ca="1">IFERROR(__xludf.DUMMYFUNCTION("IMPORTRANGE(""https://docs.google.com/spreadsheets/d/1XL5vhW3sbDhbH9Cz0tuDiY8C3ctxq1tqvaCgkFb8cCA/edit?usp=sharing"",""นครพนม!M494"")"),1350)</f>
        <v>1350</v>
      </c>
      <c r="O599" s="170">
        <f t="shared" ca="1" si="126"/>
        <v>8.3850931677018625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IFERROR(__xludf.DUMMYFUNCTION("IMPORTRANGE(""https://docs.google.com/spreadsheets/d/1XL5vhW3sbDhbH9Cz0tuDiY8C3ctxq1tqvaCgkFb8cCA/edit?usp=sharing"",""นครพนม!L495"")"),0)</f>
        <v>0</v>
      </c>
      <c r="M600" s="170"/>
      <c r="N600" s="170">
        <f ca="1">IFERROR(__xludf.DUMMYFUNCTION("IMPORTRANGE(""https://docs.google.com/spreadsheets/d/1XL5vhW3sbDhbH9Cz0tuDiY8C3ctxq1tqvaCgkFb8cCA/edit?usp=sharing"",""นครพนม!M495"")"),0)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IFERROR(__xludf.DUMMYFUNCTION("IMPORTRANGE(""https://docs.google.com/spreadsheets/d/1XL5vhW3sbDhbH9Cz0tuDiY8C3ctxq1tqvaCgkFb8cCA/edit?usp=sharing"",""นครพนม!L496"")"),16100)</f>
        <v>16100</v>
      </c>
      <c r="M601" s="170"/>
      <c r="N601" s="170">
        <f ca="1">IFERROR(__xludf.DUMMYFUNCTION("IMPORTRANGE(""https://docs.google.com/spreadsheets/d/1XL5vhW3sbDhbH9Cz0tuDiY8C3ctxq1tqvaCgkFb8cCA/edit?usp=sharing"",""นครพนม!M496"")"),1350)</f>
        <v>1350</v>
      </c>
      <c r="O601" s="170">
        <f t="shared" ca="1" si="126"/>
        <v>8.3850931677018625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IFERROR(__xludf.DUMMYFUNCTION("IMPORTRANGE(""https://docs.google.com/spreadsheets/d/1XL5vhW3sbDhbH9Cz0tuDiY8C3ctxq1tqvaCgkFb8cCA/edit?usp=sharing"",""นครพนม!M497"")"),0)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IFERROR(__xludf.DUMMYFUNCTION("IMPORTRANGE(""https://docs.google.com/spreadsheets/d/1XL5vhW3sbDhbH9Cz0tuDiY8C3ctxq1tqvaCgkFb8cCA/edit?usp=sharing"",""นครพนม!M498"")"),0)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IFERROR(__xludf.DUMMYFUNCTION("IMPORTRANGE(""https://docs.google.com/spreadsheets/d/1XL5vhW3sbDhbH9Cz0tuDiY8C3ctxq1tqvaCgkFb8cCA/edit?usp=sharing"",""นครพนม!J502"")"),0)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IFERROR(__xludf.DUMMYFUNCTION("IMPORTRANGE(""https://docs.google.com/spreadsheets/d/1XL5vhW3sbDhbH9Cz0tuDiY8C3ctxq1tqvaCgkFb8cCA/edit?usp=sharing"",""นครพนม!J503"")"),1)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IFERROR(__xludf.DUMMYFUNCTION("IMPORTRANGE(""https://docs.google.com/spreadsheets/d/1XL5vhW3sbDhbH9Cz0tuDiY8C3ctxq1tqvaCgkFb8cCA/edit?usp=sharing"",""นครพนม!I506"")"),100)</f>
        <v>100</v>
      </c>
      <c r="J611" s="164">
        <f ca="1">IFERROR(__xludf.DUMMYFUNCTION("IMPORTRANGE(""https://docs.google.com/spreadsheets/d/1XL5vhW3sbDhbH9Cz0tuDiY8C3ctxq1tqvaCgkFb8cCA/edit?usp=sharing"",""นครพนม!J506"")"),0)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IFERROR(__xludf.DUMMYFUNCTION("IMPORTRANGE(""https://docs.google.com/spreadsheets/d/1XL5vhW3sbDhbH9Cz0tuDiY8C3ctxq1tqvaCgkFb8cCA/edit?usp=sharing"",""นครพนม!I507"")"),0)</f>
        <v>0</v>
      </c>
      <c r="J612" s="199">
        <f ca="1">IFERROR(__xludf.DUMMYFUNCTION("IMPORTRANGE(""https://docs.google.com/spreadsheets/d/1XL5vhW3sbDhbH9Cz0tuDiY8C3ctxq1tqvaCgkFb8cCA/edit?usp=sharing"",""นครพนม!J507"")"),35)</f>
        <v>35</v>
      </c>
      <c r="K612" s="165">
        <f t="shared" ca="1" si="127"/>
        <v>35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IFERROR(__xludf.DUMMYFUNCTION("IMPORTRANGE(""https://docs.google.com/spreadsheets/d/1XL5vhW3sbDhbH9Cz0tuDiY8C3ctxq1tqvaCgkFb8cCA/edit?usp=sharing"",""นครพนม!I508"")"),0)</f>
        <v>0</v>
      </c>
      <c r="J613" s="199">
        <f ca="1">IFERROR(__xludf.DUMMYFUNCTION("IMPORTRANGE(""https://docs.google.com/spreadsheets/d/1XL5vhW3sbDhbH9Cz0tuDiY8C3ctxq1tqvaCgkFb8cCA/edit?usp=sharing"",""นครพนม!J508"")"),0)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IFERROR(__xludf.DUMMYFUNCTION("IMPORTRANGE(""https://docs.google.com/spreadsheets/d/1XL5vhW3sbDhbH9Cz0tuDiY8C3ctxq1tqvaCgkFb8cCA/edit?usp=sharing"",""นครพนม!I509"")"),0)</f>
        <v>0</v>
      </c>
      <c r="J614" s="199">
        <f ca="1">IFERROR(__xludf.DUMMYFUNCTION("IMPORTRANGE(""https://docs.google.com/spreadsheets/d/1XL5vhW3sbDhbH9Cz0tuDiY8C3ctxq1tqvaCgkFb8cCA/edit?usp=sharing"",""นครพนม!J509"")"),0)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IFERROR(__xludf.DUMMYFUNCTION("IMPORTRANGE(""https://docs.google.com/spreadsheets/d/1XL5vhW3sbDhbH9Cz0tuDiY8C3ctxq1tqvaCgkFb8cCA/edit?usp=sharing"",""นครพนม!I510"")"),0)</f>
        <v>0</v>
      </c>
      <c r="J615" s="199">
        <f ca="1">IFERROR(__xludf.DUMMYFUNCTION("IMPORTRANGE(""https://docs.google.com/spreadsheets/d/1XL5vhW3sbDhbH9Cz0tuDiY8C3ctxq1tqvaCgkFb8cCA/edit?usp=sharing"",""นครพนม!J510"")"),0)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IFERROR(__xludf.DUMMYFUNCTION("IMPORTRANGE(""https://docs.google.com/spreadsheets/d/1XL5vhW3sbDhbH9Cz0tuDiY8C3ctxq1tqvaCgkFb8cCA/edit?usp=sharing"",""นครพนม!I511"")"),0)</f>
        <v>0</v>
      </c>
      <c r="J616" s="199">
        <f ca="1">IFERROR(__xludf.DUMMYFUNCTION("IMPORTRANGE(""https://docs.google.com/spreadsheets/d/1XL5vhW3sbDhbH9Cz0tuDiY8C3ctxq1tqvaCgkFb8cCA/edit?usp=sharing"",""นครพนม!J511"")"),0)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IFERROR(__xludf.DUMMYFUNCTION("IMPORTRANGE(""https://docs.google.com/spreadsheets/d/1XL5vhW3sbDhbH9Cz0tuDiY8C3ctxq1tqvaCgkFb8cCA/edit?usp=sharing"",""นครพนม!I512"")"),0)</f>
        <v>0</v>
      </c>
      <c r="J617" s="189">
        <f ca="1">IFERROR(__xludf.DUMMYFUNCTION("IMPORTRANGE(""https://docs.google.com/spreadsheets/d/1XL5vhW3sbDhbH9Cz0tuDiY8C3ctxq1tqvaCgkFb8cCA/edit?usp=sharing"",""นครพนม!J512"")"),0)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IFERROR(__xludf.DUMMYFUNCTION("IMPORTRANGE(""https://docs.google.com/spreadsheets/d/1XL5vhW3sbDhbH9Cz0tuDiY8C3ctxq1tqvaCgkFb8cCA/edit?usp=sharing"",""นครพนม!I513"")"),0)</f>
        <v>0</v>
      </c>
      <c r="J618" s="190">
        <f ca="1">IFERROR(__xludf.DUMMYFUNCTION("IMPORTRANGE(""https://docs.google.com/spreadsheets/d/1XL5vhW3sbDhbH9Cz0tuDiY8C3ctxq1tqvaCgkFb8cCA/edit?usp=sharing"",""นครพนม!J513"")"),0)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IFERROR(__xludf.DUMMYFUNCTION("IMPORTRANGE(""https://docs.google.com/spreadsheets/d/1XL5vhW3sbDhbH9Cz0tuDiY8C3ctxq1tqvaCgkFb8cCA/edit?usp=sharing"",""นครพนม!I514"")"),0)</f>
        <v>0</v>
      </c>
      <c r="J619" s="190">
        <f ca="1">IFERROR(__xludf.DUMMYFUNCTION("IMPORTRANGE(""https://docs.google.com/spreadsheets/d/1XL5vhW3sbDhbH9Cz0tuDiY8C3ctxq1tqvaCgkFb8cCA/edit?usp=sharing"",""นครพนม!J514"")"),0)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IFERROR(__xludf.DUMMYFUNCTION("IMPORTRANGE(""https://docs.google.com/spreadsheets/d/1XL5vhW3sbDhbH9Cz0tuDiY8C3ctxq1tqvaCgkFb8cCA/edit?usp=sharing"",""นครพนม!I515"")"),188)</f>
        <v>188</v>
      </c>
      <c r="J620" s="204">
        <f ca="1">IFERROR(__xludf.DUMMYFUNCTION("IMPORTRANGE(""https://docs.google.com/spreadsheets/d/1XL5vhW3sbDhbH9Cz0tuDiY8C3ctxq1tqvaCgkFb8cCA/edit?usp=sharing"",""นครพนม!J515"")"),0)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IFERROR(__xludf.DUMMYFUNCTION("IMPORTRANGE(""https://docs.google.com/spreadsheets/d/1XL5vhW3sbDhbH9Cz0tuDiY8C3ctxq1tqvaCgkFb8cCA/edit?usp=sharing"",""นครพนม!I516"")"),0)</f>
        <v>0</v>
      </c>
      <c r="J621" s="204">
        <f ca="1">IFERROR(__xludf.DUMMYFUNCTION("IMPORTRANGE(""https://docs.google.com/spreadsheets/d/1XL5vhW3sbDhbH9Cz0tuDiY8C3ctxq1tqvaCgkFb8cCA/edit?usp=sharing"",""นครพนม!J516"")"),0)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IFERROR(__xludf.DUMMYFUNCTION("IMPORTRANGE(""https://docs.google.com/spreadsheets/d/1XL5vhW3sbDhbH9Cz0tuDiY8C3ctxq1tqvaCgkFb8cCA/edit?usp=sharing"",""นครพนม!I517"")"),0)</f>
        <v>0</v>
      </c>
      <c r="J622" s="190">
        <f ca="1">IFERROR(__xludf.DUMMYFUNCTION("IMPORTRANGE(""https://docs.google.com/spreadsheets/d/1XL5vhW3sbDhbH9Cz0tuDiY8C3ctxq1tqvaCgkFb8cCA/edit?usp=sharing"",""นครพนม!J517"")"),0)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IFERROR(__xludf.DUMMYFUNCTION("IMPORTRANGE(""https://docs.google.com/spreadsheets/d/1XL5vhW3sbDhbH9Cz0tuDiY8C3ctxq1tqvaCgkFb8cCA/edit?usp=sharing"",""นครพนม!I518"")"),0)</f>
        <v>0</v>
      </c>
      <c r="J623" s="190">
        <f ca="1">IFERROR(__xludf.DUMMYFUNCTION("IMPORTRANGE(""https://docs.google.com/spreadsheets/d/1XL5vhW3sbDhbH9Cz0tuDiY8C3ctxq1tqvaCgkFb8cCA/edit?usp=sharing"",""นครพนม!J518"")"),0)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IFERROR(__xludf.DUMMYFUNCTION("IMPORTRANGE(""https://docs.google.com/spreadsheets/d/1XL5vhW3sbDhbH9Cz0tuDiY8C3ctxq1tqvaCgkFb8cCA/edit?usp=sharing"",""นครพนม!I519"")"),0)</f>
        <v>0</v>
      </c>
      <c r="J624" s="189">
        <f ca="1">IFERROR(__xludf.DUMMYFUNCTION("IMPORTRANGE(""https://docs.google.com/spreadsheets/d/1XL5vhW3sbDhbH9Cz0tuDiY8C3ctxq1tqvaCgkFb8cCA/edit?usp=sharing"",""นครพนม!J519"")"),0)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IFERROR(__xludf.DUMMYFUNCTION("IMPORTRANGE(""https://docs.google.com/spreadsheets/d/1XL5vhW3sbDhbH9Cz0tuDiY8C3ctxq1tqvaCgkFb8cCA/edit?usp=sharing"",""นครพนม!I520"")"),0)</f>
        <v>0</v>
      </c>
      <c r="J625" s="190">
        <f ca="1">IFERROR(__xludf.DUMMYFUNCTION("IMPORTRANGE(""https://docs.google.com/spreadsheets/d/1XL5vhW3sbDhbH9Cz0tuDiY8C3ctxq1tqvaCgkFb8cCA/edit?usp=sharing"",""นครพนม!J520"")"),0)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IFERROR(__xludf.DUMMYFUNCTION("IMPORTRANGE(""https://docs.google.com/spreadsheets/d/1XL5vhW3sbDhbH9Cz0tuDiY8C3ctxq1tqvaCgkFb8cCA/edit?usp=sharing"",""นครพนม!I521"")"),0)</f>
        <v>0</v>
      </c>
      <c r="J626" s="190">
        <f ca="1">IFERROR(__xludf.DUMMYFUNCTION("IMPORTRANGE(""https://docs.google.com/spreadsheets/d/1XL5vhW3sbDhbH9Cz0tuDiY8C3ctxq1tqvaCgkFb8cCA/edit?usp=sharing"",""นครพนม!J521"")"),0)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1">
        <f ca="1">IFERROR(__xludf.DUMMYFUNCTION("IMPORTRANGE(""https://docs.google.com/spreadsheets/d/1XL5vhW3sbDhbH9Cz0tuDiY8C3ctxq1tqvaCgkFb8cCA/edit?usp=sharing"",""นครพนม!J523"")"),911355.01)</f>
        <v>911355.01</v>
      </c>
      <c r="K628" s="342">
        <f t="shared" ref="K628:K635" ca="1" si="129">IF(I628&gt;0,J628*100/I628,0)</f>
        <v>41.522082892775373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IFERROR(__xludf.DUMMYFUNCTION("IMPORTRANGE(""https://docs.google.com/spreadsheets/d/1XL5vhW3sbDhbH9Cz0tuDiY8C3ctxq1tqvaCgkFb8cCA/edit?usp=sharing"",""นครพนม!I524"")"),214)</f>
        <v>214</v>
      </c>
      <c r="J629" s="341">
        <f ca="1">IFERROR(__xludf.DUMMYFUNCTION("IMPORTRANGE(""https://docs.google.com/spreadsheets/d/1XL5vhW3sbDhbH9Cz0tuDiY8C3ctxq1tqvaCgkFb8cCA/edit?usp=sharing"",""นครพนม!J524"")"),88)</f>
        <v>88</v>
      </c>
      <c r="K629" s="342">
        <f t="shared" ca="1" si="129"/>
        <v>41.121495327102807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IFERROR(__xludf.DUMMYFUNCTION("IMPORTRANGE(""https://docs.google.com/spreadsheets/d/1XL5vhW3sbDhbH9Cz0tuDiY8C3ctxq1tqvaCgkFb8cCA/edit?usp=sharing"",""นครพนม!I525"")"),3131499.4)</f>
        <v>3131499.4</v>
      </c>
      <c r="J630" s="341">
        <f ca="1">IFERROR(__xludf.DUMMYFUNCTION("IMPORTRANGE(""https://docs.google.com/spreadsheets/d/1XL5vhW3sbDhbH9Cz0tuDiY8C3ctxq1tqvaCgkFb8cCA/edit?usp=sharing"",""นครพนม!J525"")"),320176.43)</f>
        <v>320176.43</v>
      </c>
      <c r="K630" s="342">
        <f t="shared" ca="1" si="129"/>
        <v>10.224381010579149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IFERROR(__xludf.DUMMYFUNCTION("IMPORTRANGE(""https://docs.google.com/spreadsheets/d/1XL5vhW3sbDhbH9Cz0tuDiY8C3ctxq1tqvaCgkFb8cCA/edit?usp=sharing"",""นครพนม!I526"")"),144)</f>
        <v>144</v>
      </c>
      <c r="J631" s="341">
        <f ca="1">IFERROR(__xludf.DUMMYFUNCTION("IMPORTRANGE(""https://docs.google.com/spreadsheets/d/1XL5vhW3sbDhbH9Cz0tuDiY8C3ctxq1tqvaCgkFb8cCA/edit?usp=sharing"",""นครพนม!J526"")"),35)</f>
        <v>35</v>
      </c>
      <c r="K631" s="342">
        <f t="shared" ca="1" si="129"/>
        <v>24.305555555555557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IFERROR(__xludf.DUMMYFUNCTION("IMPORTRANGE(""https://docs.google.com/spreadsheets/d/1XL5vhW3sbDhbH9Cz0tuDiY8C3ctxq1tqvaCgkFb8cCA/edit?usp=sharing"",""นครพนม!I527"")"),203773.43)</f>
        <v>203773.43</v>
      </c>
      <c r="J632" s="341">
        <f ca="1">IFERROR(__xludf.DUMMYFUNCTION("IMPORTRANGE(""https://docs.google.com/spreadsheets/d/1XL5vhW3sbDhbH9Cz0tuDiY8C3ctxq1tqvaCgkFb8cCA/edit?usp=sharing"",""นครพนม!J527"")"),75976.39)</f>
        <v>75976.39</v>
      </c>
      <c r="K632" s="342">
        <f t="shared" ca="1" si="129"/>
        <v>37.284738250713062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IFERROR(__xludf.DUMMYFUNCTION("IMPORTRANGE(""https://docs.google.com/spreadsheets/d/1XL5vhW3sbDhbH9Cz0tuDiY8C3ctxq1tqvaCgkFb8cCA/edit?usp=sharing"",""นครพนม!I528"")"),16)</f>
        <v>16</v>
      </c>
      <c r="J633" s="341">
        <f ca="1">IFERROR(__xludf.DUMMYFUNCTION("IMPORTRANGE(""https://docs.google.com/spreadsheets/d/1XL5vhW3sbDhbH9Cz0tuDiY8C3ctxq1tqvaCgkFb8cCA/edit?usp=sharing"",""นครพนม!J528"")"),4)</f>
        <v>4</v>
      </c>
      <c r="K633" s="342">
        <f t="shared" ca="1" si="129"/>
        <v>25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IFERROR(__xludf.DUMMYFUNCTION("IMPORTRANGE(""https://docs.google.com/spreadsheets/d/1XL5vhW3sbDhbH9Cz0tuDiY8C3ctxq1tqvaCgkFb8cCA/edit?usp=sharing"",""นครพนม!I529"")"),2700000)</f>
        <v>2700000</v>
      </c>
      <c r="J634" s="341">
        <f ca="1">IFERROR(__xludf.DUMMYFUNCTION("IMPORTRANGE(""https://docs.google.com/spreadsheets/d/1XL5vhW3sbDhbH9Cz0tuDiY8C3ctxq1tqvaCgkFb8cCA/edit?usp=sharing"",""นครพนม!J529"")"),0)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IFERROR(__xludf.DUMMYFUNCTION("IMPORTRANGE(""https://docs.google.com/spreadsheets/d/1XL5vhW3sbDhbH9Cz0tuDiY8C3ctxq1tqvaCgkFb8cCA/edit?usp=sharing"",""นครพนม!I530"")"),90)</f>
        <v>90</v>
      </c>
      <c r="J635" s="504">
        <f ca="1">IFERROR(__xludf.DUMMYFUNCTION("IMPORTRANGE(""https://docs.google.com/spreadsheets/d/1XL5vhW3sbDhbH9Cz0tuDiY8C3ctxq1tqvaCgkFb8cCA/edit?usp=sharing"",""นครพนม!J530"")"),0)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2.5703125" bestFit="1" customWidth="1"/>
    <col min="12" max="12" width="19.42578125" bestFit="1" customWidth="1"/>
    <col min="13" max="13" width="17.85546875" customWidth="1"/>
    <col min="14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246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69" t="s">
        <v>2</v>
      </c>
      <c r="B5" s="570"/>
      <c r="C5" s="570"/>
      <c r="D5" s="570"/>
      <c r="E5" s="570"/>
      <c r="F5" s="570"/>
      <c r="G5" s="571"/>
      <c r="H5" s="564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63" t="s">
        <v>15</v>
      </c>
      <c r="B7" s="558"/>
      <c r="C7" s="558"/>
      <c r="D7" s="558"/>
      <c r="E7" s="558"/>
      <c r="F7" s="558"/>
      <c r="G7" s="55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10439806</v>
      </c>
      <c r="M8" s="23">
        <f t="shared" ca="1" si="0"/>
        <v>3562297</v>
      </c>
      <c r="N8" s="23">
        <f t="shared" ca="1" si="0"/>
        <v>4821081.57</v>
      </c>
      <c r="O8" s="22">
        <f t="shared" ref="O8:O16" ca="1" si="1">IF(L8&gt;0,N8*100/L8,0)</f>
        <v>46.17980037176936</v>
      </c>
      <c r="P8" s="22">
        <f t="shared" ref="P8:P16" ca="1" si="2">IF(M8&gt;0,N8*100/M8,0)</f>
        <v>135.33631726944722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10439806</v>
      </c>
      <c r="M10" s="30">
        <f t="shared" ca="1" si="4"/>
        <v>3562297</v>
      </c>
      <c r="N10" s="30">
        <f t="shared" ca="1" si="4"/>
        <v>4821081.57</v>
      </c>
      <c r="O10" s="29">
        <f t="shared" ca="1" si="1"/>
        <v>46.17980037176936</v>
      </c>
      <c r="P10" s="29">
        <f t="shared" ca="1" si="2"/>
        <v>135.33631726944722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10207006</v>
      </c>
      <c r="M12" s="38">
        <f t="shared" ca="1" si="6"/>
        <v>3329497</v>
      </c>
      <c r="N12" s="38">
        <f t="shared" ca="1" si="6"/>
        <v>4588281.57</v>
      </c>
      <c r="O12" s="38">
        <f t="shared" ca="1" si="1"/>
        <v>44.952276602952914</v>
      </c>
      <c r="P12" s="38">
        <f t="shared" ca="1" si="2"/>
        <v>137.80704923296221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7381706</v>
      </c>
      <c r="M14" s="38">
        <f t="shared" si="8"/>
        <v>0</v>
      </c>
      <c r="N14" s="38">
        <f t="shared" ca="1" si="8"/>
        <v>1737778.5699999998</v>
      </c>
      <c r="O14" s="38">
        <f t="shared" ca="1" si="1"/>
        <v>23.541693072035105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63" t="s">
        <v>24</v>
      </c>
      <c r="B17" s="558"/>
      <c r="C17" s="558"/>
      <c r="D17" s="558"/>
      <c r="E17" s="558"/>
      <c r="F17" s="558"/>
      <c r="G17" s="55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3562297</v>
      </c>
      <c r="N18" s="23">
        <f t="shared" ca="1" si="11"/>
        <v>3083303</v>
      </c>
      <c r="O18" s="22">
        <f t="shared" ref="O18:O20" ca="1" si="12">IF(L18&gt;0,N18*100/L18,0)</f>
        <v>50.884751505309531</v>
      </c>
      <c r="P18" s="22">
        <f t="shared" ref="P18:P26" ca="1" si="13">IF(M18&gt;0,N18*100/M18,0)</f>
        <v>86.553788187790076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3562297</v>
      </c>
      <c r="N20" s="30">
        <f t="shared" ca="1" si="15"/>
        <v>3083303</v>
      </c>
      <c r="O20" s="29">
        <f t="shared" ca="1" si="12"/>
        <v>50.884751505309531</v>
      </c>
      <c r="P20" s="29">
        <f t="shared" ca="1" si="13"/>
        <v>86.553788187790076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3329497</v>
      </c>
      <c r="N22" s="38">
        <f t="shared" ca="1" si="18"/>
        <v>2850503</v>
      </c>
      <c r="O22" s="38">
        <f t="shared" ca="1" si="17"/>
        <v>48.922361898092966</v>
      </c>
      <c r="P22" s="38">
        <f t="shared" ca="1" si="13"/>
        <v>85.613622718386594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63" t="s">
        <v>25</v>
      </c>
      <c r="B27" s="558"/>
      <c r="C27" s="558"/>
      <c r="D27" s="558"/>
      <c r="E27" s="558"/>
      <c r="F27" s="558"/>
      <c r="G27" s="55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4380421</v>
      </c>
      <c r="M28" s="23">
        <f t="shared" si="23"/>
        <v>0</v>
      </c>
      <c r="N28" s="23">
        <f t="shared" ca="1" si="23"/>
        <v>1737778.5699999998</v>
      </c>
      <c r="O28" s="22">
        <f t="shared" ref="O28:O30" ca="1" si="24">IF(L28&gt;0,N28*100/L28,0)</f>
        <v>39.671496643815736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4380421</v>
      </c>
      <c r="M30" s="30">
        <f t="shared" si="27"/>
        <v>0</v>
      </c>
      <c r="N30" s="30">
        <f t="shared" ca="1" si="27"/>
        <v>1737778.5699999998</v>
      </c>
      <c r="O30" s="29">
        <f t="shared" ca="1" si="24"/>
        <v>39.671496643815736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4380421</v>
      </c>
      <c r="M32" s="38">
        <f t="shared" si="30"/>
        <v>0</v>
      </c>
      <c r="N32" s="38">
        <f t="shared" ca="1" si="30"/>
        <v>1737778.5699999998</v>
      </c>
      <c r="O32" s="38">
        <f t="shared" ca="1" si="29"/>
        <v>39.671496643815736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4380421</v>
      </c>
      <c r="M34" s="38">
        <f t="shared" si="32"/>
        <v>0</v>
      </c>
      <c r="N34" s="38">
        <f t="shared" ca="1" si="32"/>
        <v>1737778.5699999998</v>
      </c>
      <c r="O34" s="38">
        <f t="shared" ca="1" si="29"/>
        <v>39.671496643815736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3562297</v>
      </c>
      <c r="N37" s="54">
        <f t="shared" ca="1" si="33"/>
        <v>3083303</v>
      </c>
      <c r="O37" s="55">
        <f t="shared" ca="1" si="29"/>
        <v>50.884751505309531</v>
      </c>
      <c r="P37" s="55">
        <f t="shared" ca="1" si="25"/>
        <v>86.553788187790076</v>
      </c>
    </row>
    <row r="38" spans="1:16" ht="21.75" customHeight="1" x14ac:dyDescent="0.3">
      <c r="A38" s="557" t="s">
        <v>27</v>
      </c>
      <c r="B38" s="558"/>
      <c r="C38" s="558"/>
      <c r="D38" s="558"/>
      <c r="E38" s="558"/>
      <c r="F38" s="558"/>
      <c r="G38" s="559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60" t="s">
        <v>28</v>
      </c>
      <c r="C39" s="551"/>
      <c r="D39" s="551"/>
      <c r="E39" s="551"/>
      <c r="F39" s="551"/>
      <c r="G39" s="551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645920</v>
      </c>
      <c r="N41" s="78">
        <f t="shared" ca="1" si="34"/>
        <v>615155</v>
      </c>
      <c r="O41" s="77">
        <f t="shared" ref="O41:O43" ca="1" si="35">IF(L41&gt;0,N41*100/L41,0)</f>
        <v>53.394236611405262</v>
      </c>
      <c r="P41" s="77">
        <f t="shared" ref="P41:P43" ca="1" si="36">IF(M41&gt;0,N41*100/M41,0)</f>
        <v>95.237026257121627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645920</v>
      </c>
      <c r="N43" s="78">
        <f t="shared" ca="1" si="38"/>
        <v>615155</v>
      </c>
      <c r="O43" s="77">
        <f t="shared" ca="1" si="35"/>
        <v>53.394236611405262</v>
      </c>
      <c r="P43" s="77">
        <f t="shared" ca="1" si="36"/>
        <v>95.237026257121627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IFERROR(__xludf.DUMMYFUNCTION("IMPORTRANGE(""https://docs.google.com/spreadsheets/d/1Yj_ptqi66GCucihVvJfMjLAmec39IyEx_6qawtMGysU/edit?usp=sharing"",""สบก!Q42"")"),597920)</f>
        <v>597920</v>
      </c>
      <c r="N45" s="49">
        <f ca="1">IFERROR(__xludf.DUMMYFUNCTION("IMPORTRANGE(""https://docs.google.com/spreadsheets/d/1Yj_ptqi66GCucihVvJfMjLAmec39IyEx_6qawtMGysU/edit?usp=sharing"",""สบก!R42"")"),567155)</f>
        <v>567155</v>
      </c>
      <c r="O45" s="38">
        <f ca="1">IF(L45&gt;0,N45*100/L45,0)</f>
        <v>51.368082601213658</v>
      </c>
      <c r="P45" s="38">
        <f ca="1">IF(M45&gt;0,N45*100/M45,0)</f>
        <v>94.854662831147976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317022</v>
      </c>
      <c r="N53" s="121">
        <f t="shared" ca="1" si="39"/>
        <v>283104</v>
      </c>
      <c r="O53" s="120">
        <f t="shared" ref="O53:O55" ca="1" si="40">IF(L53&gt;0,N53*100/L53,0)</f>
        <v>48.344262295081968</v>
      </c>
      <c r="P53" s="120">
        <f t="shared" ref="P53:P55" ca="1" si="41">IF(M53&gt;0,N53*100/M53,0)</f>
        <v>89.301057970740203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317022</v>
      </c>
      <c r="N55" s="121">
        <f t="shared" ca="1" si="43"/>
        <v>283104</v>
      </c>
      <c r="O55" s="120">
        <f t="shared" ca="1" si="40"/>
        <v>48.344262295081968</v>
      </c>
      <c r="P55" s="120">
        <f t="shared" ca="1" si="41"/>
        <v>89.301057970740203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IFERROR(__xludf.DUMMYFUNCTION("IMPORTRANGE(""https://docs.google.com/spreadsheets/d/1Yj_ptqi66GCucihVvJfMjLAmec39IyEx_6qawtMGysU/edit?usp=sharing"",""สบก!Z42"")"),317022)</f>
        <v>317022</v>
      </c>
      <c r="N57" s="49">
        <f ca="1">IFERROR(__xludf.DUMMYFUNCTION("IMPORTRANGE(""https://docs.google.com/spreadsheets/d/1Yj_ptqi66GCucihVvJfMjLAmec39IyEx_6qawtMGysU/edit?usp=sharing"",""สบก!AA42"")"),283104)</f>
        <v>283104</v>
      </c>
      <c r="O57" s="38">
        <f ca="1">IF(L57&gt;0,N57*100/L57,0)</f>
        <v>48.344262295081968</v>
      </c>
      <c r="P57" s="38">
        <f ca="1">IF(M57&gt;0,N57*100/M57,0)</f>
        <v>89.301057970740203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IFERROR(__xludf.DUMMYFUNCTION("IMPORTRANGE(""https://docs.google.com/spreadsheets/d/1Yj_ptqi66GCucihVvJfMjLAmec39IyEx_6qawtMGysU/edit?usp=sharing"",""สบก!AI42"")"),0)</f>
        <v>0</v>
      </c>
      <c r="N70" s="170">
        <f ca="1">IFERROR(__xludf.DUMMYFUNCTION("IMPORTRANGE(""https://docs.google.com/spreadsheets/d/1Yj_ptqi66GCucihVvJfMjLAmec39IyEx_6qawtMGysU/edit?usp=sharing"",""สบก!AJ42"")"),0)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IFERROR(__xludf.DUMMYFUNCTION("IMPORTRANGE(""https://docs.google.com/spreadsheets/d/1Yj_ptqi66GCucihVvJfMjLAmec39IyEx_6qawtMGysU/edit?usp=sharing"",""สบก!AE42"")"),0)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IFERROR(__xludf.DUMMYFUNCTION("IMPORTRANGE(""https://docs.google.com/spreadsheets/d/1Yj_ptqi66GCucihVvJfMjLAmec39IyEx_6qawtMGysU/edit?usp=sharing"",""สบก!AF42"")"),0)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IFERROR(__xludf.DUMMYFUNCTION("IMPORTRANGE(""https://docs.google.com/spreadsheets/d/1XL5vhW3sbDhbH9Cz0tuDiY8C3ctxq1tqvaCgkFb8cCA/edit?usp=sharing"",""นครราชสีมา!J16"")"),0)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IFERROR(__xludf.DUMMYFUNCTION("IMPORTRANGE(""https://docs.google.com/spreadsheets/d/1XL5vhW3sbDhbH9Cz0tuDiY8C3ctxq1tqvaCgkFb8cCA/edit?usp=sharing"",""นครราชสีมา!J17"")"),0)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IFERROR(__xludf.DUMMYFUNCTION("IMPORTRANGE(""https://docs.google.com/spreadsheets/d/1XL5vhW3sbDhbH9Cz0tuDiY8C3ctxq1tqvaCgkFb8cCA/edit?usp=sharing"",""นครราชสีมา!J18"")"),0)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IFERROR(__xludf.DUMMYFUNCTION("IMPORTRANGE(""https://docs.google.com/spreadsheets/d/1XL5vhW3sbDhbH9Cz0tuDiY8C3ctxq1tqvaCgkFb8cCA/edit?usp=sharing"",""นครราชสีมา!J19"")"),0)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IFERROR(__xludf.DUMMYFUNCTION("IMPORTRANGE(""https://docs.google.com/spreadsheets/d/1XL5vhW3sbDhbH9Cz0tuDiY8C3ctxq1tqvaCgkFb8cCA/edit?usp=sharing"",""นครราชสีมา!I20"")"),0)</f>
        <v>0</v>
      </c>
      <c r="J80" s="202">
        <f ca="1">IFERROR(__xludf.DUMMYFUNCTION("IMPORTRANGE(""https://docs.google.com/spreadsheets/d/1XL5vhW3sbDhbH9Cz0tuDiY8C3ctxq1tqvaCgkFb8cCA/edit?usp=sharing"",""นครราชสีมา!J20"")"),0)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IFERROR(__xludf.DUMMYFUNCTION("IMPORTRANGE(""https://docs.google.com/spreadsheets/d/1XL5vhW3sbDhbH9Cz0tuDiY8C3ctxq1tqvaCgkFb8cCA/edit?usp=sharing"",""นครราชสีมา!I21"")"),0)</f>
        <v>0</v>
      </c>
      <c r="J81" s="202">
        <f ca="1">IFERROR(__xludf.DUMMYFUNCTION("IMPORTRANGE(""https://docs.google.com/spreadsheets/d/1XL5vhW3sbDhbH9Cz0tuDiY8C3ctxq1tqvaCgkFb8cCA/edit?usp=sharing"",""นครราชสีมา!J21"")"),0)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IFERROR(__xludf.DUMMYFUNCTION("IMPORTRANGE(""https://docs.google.com/spreadsheets/d/1XL5vhW3sbDhbH9Cz0tuDiY8C3ctxq1tqvaCgkFb8cCA/edit?usp=sharing"",""นครราชสีมา!I22"")"),0)</f>
        <v>0</v>
      </c>
      <c r="J82" s="205">
        <f ca="1">IFERROR(__xludf.DUMMYFUNCTION("IMPORTRANGE(""https://docs.google.com/spreadsheets/d/1XL5vhW3sbDhbH9Cz0tuDiY8C3ctxq1tqvaCgkFb8cCA/edit?usp=sharing"",""นครราชสีมา!J22"")"),0)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IFERROR(__xludf.DUMMYFUNCTION("IMPORTRANGE(""https://docs.google.com/spreadsheets/d/1XL5vhW3sbDhbH9Cz0tuDiY8C3ctxq1tqvaCgkFb8cCA/edit?usp=sharing"",""นครราชสีมา!I23"")"),0)</f>
        <v>0</v>
      </c>
      <c r="J83" s="205">
        <f ca="1">IFERROR(__xludf.DUMMYFUNCTION("IMPORTRANGE(""https://docs.google.com/spreadsheets/d/1XL5vhW3sbDhbH9Cz0tuDiY8C3ctxq1tqvaCgkFb8cCA/edit?usp=sharing"",""นครราชสีมา!J23"")"),0)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IFERROR(__xludf.DUMMYFUNCTION("IMPORTRANGE(""https://docs.google.com/spreadsheets/d/1XL5vhW3sbDhbH9Cz0tuDiY8C3ctxq1tqvaCgkFb8cCA/edit?usp=sharing"",""นครราชสีมา!I24"")"),0)</f>
        <v>0</v>
      </c>
      <c r="J84" s="190">
        <f ca="1">IFERROR(__xludf.DUMMYFUNCTION("IMPORTRANGE(""https://docs.google.com/spreadsheets/d/1XL5vhW3sbDhbH9Cz0tuDiY8C3ctxq1tqvaCgkFb8cCA/edit?usp=sharing"",""นครราชสีมา!J24"")"),0)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IFERROR(__xludf.DUMMYFUNCTION("IMPORTRANGE(""https://docs.google.com/spreadsheets/d/1XL5vhW3sbDhbH9Cz0tuDiY8C3ctxq1tqvaCgkFb8cCA/edit?usp=sharing"",""นครราชสีมา!I25"")"),0)</f>
        <v>0</v>
      </c>
      <c r="J85" s="190">
        <f ca="1">IFERROR(__xludf.DUMMYFUNCTION("IMPORTRANGE(""https://docs.google.com/spreadsheets/d/1XL5vhW3sbDhbH9Cz0tuDiY8C3ctxq1tqvaCgkFb8cCA/edit?usp=sharing"",""นครราชสีมา!J25"")"),0)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IFERROR(__xludf.DUMMYFUNCTION("IMPORTRANGE(""https://docs.google.com/spreadsheets/d/1XL5vhW3sbDhbH9Cz0tuDiY8C3ctxq1tqvaCgkFb8cCA/edit?usp=sharing"",""นครราชสีมา!I26"")"),0)</f>
        <v>0</v>
      </c>
      <c r="J86" s="205">
        <f ca="1">IFERROR(__xludf.DUMMYFUNCTION("IMPORTRANGE(""https://docs.google.com/spreadsheets/d/1XL5vhW3sbDhbH9Cz0tuDiY8C3ctxq1tqvaCgkFb8cCA/edit?usp=sharing"",""นครราชสีมา!J26"")"),0)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IFERROR(__xludf.DUMMYFUNCTION("IMPORTRANGE(""https://docs.google.com/spreadsheets/d/1XL5vhW3sbDhbH9Cz0tuDiY8C3ctxq1tqvaCgkFb8cCA/edit?usp=sharing"",""นครราชสีมา!I27"")"),0)</f>
        <v>0</v>
      </c>
      <c r="J87" s="205">
        <f ca="1">IFERROR(__xludf.DUMMYFUNCTION("IMPORTRANGE(""https://docs.google.com/spreadsheets/d/1XL5vhW3sbDhbH9Cz0tuDiY8C3ctxq1tqvaCgkFb8cCA/edit?usp=sharing"",""นครราชสีมา!J27"")"),0)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IFERROR(__xludf.DUMMYFUNCTION("IMPORTRANGE(""https://docs.google.com/spreadsheets/d/1XL5vhW3sbDhbH9Cz0tuDiY8C3ctxq1tqvaCgkFb8cCA/edit?usp=sharing"",""นครราชสีมา!I28"")"),0)</f>
        <v>0</v>
      </c>
      <c r="J88" s="205">
        <f ca="1">IFERROR(__xludf.DUMMYFUNCTION("IMPORTRANGE(""https://docs.google.com/spreadsheets/d/1XL5vhW3sbDhbH9Cz0tuDiY8C3ctxq1tqvaCgkFb8cCA/edit?usp=sharing"",""นครราชสีมา!J28"")"),0)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IFERROR(__xludf.DUMMYFUNCTION("IMPORTRANGE(""https://docs.google.com/spreadsheets/d/1XL5vhW3sbDhbH9Cz0tuDiY8C3ctxq1tqvaCgkFb8cCA/edit?usp=sharing"",""นครราชสีมา!J29"")"),0)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316780</v>
      </c>
      <c r="M94" s="152">
        <f t="shared" ca="1" si="52"/>
        <v>262570</v>
      </c>
      <c r="N94" s="152">
        <f t="shared" ca="1" si="52"/>
        <v>237330</v>
      </c>
      <c r="O94" s="151">
        <f t="shared" ref="O94:O96" ca="1" si="53">IF(L94&gt;0,N94*100/L94,0)</f>
        <v>74.919502493844305</v>
      </c>
      <c r="P94" s="151">
        <f t="shared" ref="P94:P96" ca="1" si="54">IF(M94&gt;0,N94*100/M94,0)</f>
        <v>90.387325284685986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316780</v>
      </c>
      <c r="M96" s="157">
        <f t="shared" ca="1" si="56"/>
        <v>262570</v>
      </c>
      <c r="N96" s="157">
        <f t="shared" ca="1" si="56"/>
        <v>237330</v>
      </c>
      <c r="O96" s="156">
        <f t="shared" ca="1" si="53"/>
        <v>74.919502493844305</v>
      </c>
      <c r="P96" s="156">
        <f t="shared" ca="1" si="54"/>
        <v>90.387325284685986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131980</v>
      </c>
      <c r="M98" s="169">
        <f ca="1">IFERROR(__xludf.DUMMYFUNCTION("IMPORTRANGE(""https://docs.google.com/spreadsheets/d/1Yj_ptqi66GCucihVvJfMjLAmec39IyEx_6qawtMGysU/edit?usp=sharing"",""สบก!AR42"")"),77770)</f>
        <v>77770</v>
      </c>
      <c r="N98" s="170">
        <f ca="1">IFERROR(__xludf.DUMMYFUNCTION("IMPORTRANGE(""https://docs.google.com/spreadsheets/d/1Yj_ptqi66GCucihVvJfMjLAmec39IyEx_6qawtMGysU/edit?usp=sharing"",""สบก!AS42"")"),52530)</f>
        <v>52530</v>
      </c>
      <c r="O98" s="170">
        <f ca="1">IF(L98&gt;0,N98*100/L98,0)</f>
        <v>39.801485073495982</v>
      </c>
      <c r="P98" s="170">
        <f ca="1">IF(M98&gt;0,N98*100/M98,0)</f>
        <v>67.545325961167549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IFERROR(__xludf.DUMMYFUNCTION("IMPORTRANGE(""https://docs.google.com/spreadsheets/d/1Yj_ptqi66GCucihVvJfMjLAmec39IyEx_6qawtMGysU/edit?usp=sharing"",""สบก!AN42"")"),0)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IFERROR(__xludf.DUMMYFUNCTION("IMPORTRANGE(""https://docs.google.com/spreadsheets/d/1Yj_ptqi66GCucihVvJfMjLAmec39IyEx_6qawtMGysU/edit?usp=sharing"",""สบก!AO42"")"),131980)</f>
        <v>131980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IFERROR(__xludf.DUMMYFUNCTION("IMPORTRANGE(""https://docs.google.com/spreadsheets/d/1XL5vhW3sbDhbH9Cz0tuDiY8C3ctxq1tqvaCgkFb8cCA/edit?usp=sharing"",""นครราชสีมา!I43"")"),1)</f>
        <v>1</v>
      </c>
      <c r="J108" s="205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IFERROR(__xludf.DUMMYFUNCTION("IMPORTRANGE(""https://docs.google.com/spreadsheets/d/1XL5vhW3sbDhbH9Cz0tuDiY8C3ctxq1tqvaCgkFb8cCA/edit?usp=sharing"",""นครราชสีมา!I44"")"),6)</f>
        <v>6</v>
      </c>
      <c r="J109" s="205">
        <f ca="1">IFERROR(__xludf.DUMMYFUNCTION("IMPORTRANGE(""https://docs.google.com/spreadsheets/d/1XL5vhW3sbDhbH9Cz0tuDiY8C3ctxq1tqvaCgkFb8cCA/edit?usp=sharing"",""นครราชสีมา!J44"")"),0)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IFERROR(__xludf.DUMMYFUNCTION("IMPORTRANGE(""https://docs.google.com/spreadsheets/d/1XL5vhW3sbDhbH9Cz0tuDiY8C3ctxq1tqvaCgkFb8cCA/edit?usp=sharing"",""นครราชสีมา!I45"")"),6)</f>
        <v>6</v>
      </c>
      <c r="J110" s="205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IFERROR(__xludf.DUMMYFUNCTION("IMPORTRANGE(""https://docs.google.com/spreadsheets/d/1XL5vhW3sbDhbH9Cz0tuDiY8C3ctxq1tqvaCgkFb8cCA/edit?usp=sharing"",""นครราชสีมา!I46"")"),6)</f>
        <v>6</v>
      </c>
      <c r="J111" s="205">
        <f ca="1">IFERROR(__xludf.DUMMYFUNCTION("IMPORTRANGE(""https://docs.google.com/spreadsheets/d/1XL5vhW3sbDhbH9Cz0tuDiY8C3ctxq1tqvaCgkFb8cCA/edit?usp=sharing"",""นครราชสีมา!J46"")"),0)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IFERROR(__xludf.DUMMYFUNCTION("IMPORTRANGE(""https://docs.google.com/spreadsheets/d/1XL5vhW3sbDhbH9Cz0tuDiY8C3ctxq1tqvaCgkFb8cCA/edit?usp=sharing"",""นครราชสีมา!I47"")"),6)</f>
        <v>6</v>
      </c>
      <c r="J112" s="205">
        <f ca="1">IFERROR(__xludf.DUMMYFUNCTION("IMPORTRANGE(""https://docs.google.com/spreadsheets/d/1XL5vhW3sbDhbH9Cz0tuDiY8C3ctxq1tqvaCgkFb8cCA/edit?usp=sharing"",""นครราชสีมา!J47"")"),0)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IFERROR(__xludf.DUMMYFUNCTION("IMPORTRANGE(""https://docs.google.com/spreadsheets/d/1XL5vhW3sbDhbH9Cz0tuDiY8C3ctxq1tqvaCgkFb8cCA/edit?usp=sharing"",""นครราชสีมา!I48"")"),2)</f>
        <v>2</v>
      </c>
      <c r="J113" s="205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IFERROR(__xludf.DUMMYFUNCTION("IMPORTRANGE(""https://docs.google.com/spreadsheets/d/1Yj_ptqi66GCucihVvJfMjLAmec39IyEx_6qawtMGysU/edit?usp=sharing"",""สบก!BA42"")"),0)</f>
        <v>0</v>
      </c>
      <c r="N122" s="170">
        <f ca="1">IFERROR(__xludf.DUMMYFUNCTION("IMPORTRANGE(""https://docs.google.com/spreadsheets/d/1Yj_ptqi66GCucihVvJfMjLAmec39IyEx_6qawtMGysU/edit?usp=sharing"",""สบก!BB42"")"),0)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IFERROR(__xludf.DUMMYFUNCTION("IMPORTRANGE(""https://docs.google.com/spreadsheets/d/1Yj_ptqi66GCucihVvJfMjLAmec39IyEx_6qawtMGysU/edit?usp=sharing"",""สบก!AW42"")"),0)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IFERROR(__xludf.DUMMYFUNCTION("IMPORTRANGE(""https://docs.google.com/spreadsheets/d/1Yj_ptqi66GCucihVvJfMjLAmec39IyEx_6qawtMGysU/edit?usp=sharing"",""สบก!AX42"")"),0)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7"/>
      <c r="B127" s="178"/>
      <c r="C127" s="159" t="s">
        <v>16</v>
      </c>
      <c r="D127" s="234" t="s">
        <v>247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IFERROR(__xludf.DUMMYFUNCTION("IMPORTRANGE(""https://docs.google.com/spreadsheets/d/1XL5vhW3sbDhbH9Cz0tuDiY8C3ctxq1tqvaCgkFb8cCA/edit?usp=sharing"",""นครราชสีมา!I62"")"),0)</f>
        <v>0</v>
      </c>
      <c r="J132" s="205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IFERROR(__xludf.DUMMYFUNCTION("IMPORTRANGE(""https://docs.google.com/spreadsheets/d/1XL5vhW3sbDhbH9Cz0tuDiY8C3ctxq1tqvaCgkFb8cCA/edit?usp=sharing"",""นครราชสีมา!I63"")"),0)</f>
        <v>0</v>
      </c>
      <c r="J133" s="205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589600</v>
      </c>
      <c r="M140" s="152">
        <f t="shared" ca="1" si="64"/>
        <v>331550</v>
      </c>
      <c r="N140" s="152">
        <f t="shared" ca="1" si="64"/>
        <v>264890</v>
      </c>
      <c r="O140" s="151">
        <f t="shared" ref="O140:O142" ca="1" si="65">IF(L140&gt;0,N140*100/L140,0)</f>
        <v>44.927069199457257</v>
      </c>
      <c r="P140" s="151">
        <f t="shared" ref="P140:P142" ca="1" si="66">IF(M140&gt;0,N140*100/M140,0)</f>
        <v>79.894435228472332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589600</v>
      </c>
      <c r="M142" s="157">
        <f t="shared" ca="1" si="68"/>
        <v>331550</v>
      </c>
      <c r="N142" s="157">
        <f t="shared" ca="1" si="68"/>
        <v>264890</v>
      </c>
      <c r="O142" s="156">
        <f t="shared" ca="1" si="65"/>
        <v>44.927069199457257</v>
      </c>
      <c r="P142" s="156">
        <f t="shared" ca="1" si="66"/>
        <v>79.894435228472332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589600</v>
      </c>
      <c r="M144" s="169">
        <f ca="1">IFERROR(__xludf.DUMMYFUNCTION("IMPORTRANGE(""https://docs.google.com/spreadsheets/d/1Yj_ptqi66GCucihVvJfMjLAmec39IyEx_6qawtMGysU/edit?usp=sharing"",""สบก!BJ42"")"),331550)</f>
        <v>331550</v>
      </c>
      <c r="N144" s="170">
        <f ca="1">IFERROR(__xludf.DUMMYFUNCTION("IMPORTRANGE(""https://docs.google.com/spreadsheets/d/1Yj_ptqi66GCucihVvJfMjLAmec39IyEx_6qawtMGysU/edit?usp=sharing"",""สบก!BK42"")"),264890)</f>
        <v>264890</v>
      </c>
      <c r="O144" s="170">
        <f ca="1">IF(L144&gt;0,N144*100/L144,0)</f>
        <v>44.927069199457257</v>
      </c>
      <c r="P144" s="170">
        <f ca="1">IF(M144&gt;0,N144*100/M144,0)</f>
        <v>79.894435228472332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IFERROR(__xludf.DUMMYFUNCTION("IMPORTRANGE(""https://docs.google.com/spreadsheets/d/1Yj_ptqi66GCucihVvJfMjLAmec39IyEx_6qawtMGysU/edit?usp=sharing"",""สบก!BF42"")"),469600)</f>
        <v>469600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IFERROR(__xludf.DUMMYFUNCTION("IMPORTRANGE(""https://docs.google.com/spreadsheets/d/1Yj_ptqi66GCucihVvJfMjLAmec39IyEx_6qawtMGysU/edit?usp=sharing"",""สบก!BG42"")"),120000)</f>
        <v>120000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IFERROR(__xludf.DUMMYFUNCTION("IMPORTRANGE(""https://docs.google.com/spreadsheets/d/1XL5vhW3sbDhbH9Cz0tuDiY8C3ctxq1tqvaCgkFb8cCA/edit?usp=sharing"",""นครราชสีมา!J79"")"),0)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IFERROR(__xludf.DUMMYFUNCTION("IMPORTRANGE(""https://docs.google.com/spreadsheets/d/1XL5vhW3sbDhbH9Cz0tuDiY8C3ctxq1tqvaCgkFb8cCA/edit?usp=sharing"",""นครราชสีมา!J80"")"),1)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IFERROR(__xludf.DUMMYFUNCTION("IMPORTRANGE(""https://docs.google.com/spreadsheets/d/1XL5vhW3sbDhbH9Cz0tuDiY8C3ctxq1tqvaCgkFb8cCA/edit?usp=sharing"",""นครราชสีมา!J81"")"),1)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IFERROR(__xludf.DUMMYFUNCTION("IMPORTRANGE(""https://docs.google.com/spreadsheets/d/1XL5vhW3sbDhbH9Cz0tuDiY8C3ctxq1tqvaCgkFb8cCA/edit?usp=sharing"",""นครราชสีมา!J82"")"),1)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IFERROR(__xludf.DUMMYFUNCTION("IMPORTRANGE(""https://docs.google.com/spreadsheets/d/1XL5vhW3sbDhbH9Cz0tuDiY8C3ctxq1tqvaCgkFb8cCA/edit?usp=sharing"",""นครราชสีมา!I83"")"),4)</f>
        <v>4</v>
      </c>
      <c r="J158" s="190">
        <f ca="1">IFERROR(__xludf.DUMMYFUNCTION("IMPORTRANGE(""https://docs.google.com/spreadsheets/d/1XL5vhW3sbDhbH9Cz0tuDiY8C3ctxq1tqvaCgkFb8cCA/edit?usp=sharing"",""นครราชสีมา!J83"")"),1)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IFERROR(__xludf.DUMMYFUNCTION("IMPORTRANGE(""https://docs.google.com/spreadsheets/d/1XL5vhW3sbDhbH9Cz0tuDiY8C3ctxq1tqvaCgkFb8cCA/edit?usp=sharing"",""นครราชสีมา!J84"")"),85)</f>
        <v>85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IFERROR(__xludf.DUMMYFUNCTION("IMPORTRANGE(""https://docs.google.com/spreadsheets/d/1XL5vhW3sbDhbH9Cz0tuDiY8C3ctxq1tqvaCgkFb8cCA/edit?usp=sharing"",""นครราชสีมา!J85"")"),85)</f>
        <v>85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IFERROR(__xludf.DUMMYFUNCTION("IMPORTRANGE(""https://docs.google.com/spreadsheets/d/1XL5vhW3sbDhbH9Cz0tuDiY8C3ctxq1tqvaCgkFb8cCA/edit?usp=sharing"",""นครราชสีมา!J86"")"),0)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IFERROR(__xludf.DUMMYFUNCTION("IMPORTRANGE(""https://docs.google.com/spreadsheets/d/1XL5vhW3sbDhbH9Cz0tuDiY8C3ctxq1tqvaCgkFb8cCA/edit?usp=sharing"",""นครราชสีมา!J87"")"),0)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IFERROR(__xludf.DUMMYFUNCTION("IMPORTRANGE(""https://docs.google.com/spreadsheets/d/1XL5vhW3sbDhbH9Cz0tuDiY8C3ctxq1tqvaCgkFb8cCA/edit?usp=sharing"",""นครราชสีมา!I89"")"),5)</f>
        <v>5</v>
      </c>
      <c r="J164" s="284">
        <f ca="1">IFERROR(__xludf.DUMMYFUNCTION("IMPORTRANGE(""https://docs.google.com/spreadsheets/d/1XL5vhW3sbDhbH9Cz0tuDiY8C3ctxq1tqvaCgkFb8cCA/edit?usp=sharing"",""นครราชสีมา!J89"")"),5)</f>
        <v>5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IFERROR(__xludf.DUMMYFUNCTION("IMPORTRANGE(""https://docs.google.com/spreadsheets/d/1XL5vhW3sbDhbH9Cz0tuDiY8C3ctxq1tqvaCgkFb8cCA/edit?usp=sharing"",""นครราชสีมา!J94"")"),0)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IFERROR(__xludf.DUMMYFUNCTION("IMPORTRANGE(""https://docs.google.com/spreadsheets/d/1XL5vhW3sbDhbH9Cz0tuDiY8C3ctxq1tqvaCgkFb8cCA/edit?usp=sharing"",""นครราชสีมา!J95"")"),1)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IFERROR(__xludf.DUMMYFUNCTION("IMPORTRANGE(""https://docs.google.com/spreadsheets/d/1XL5vhW3sbDhbH9Cz0tuDiY8C3ctxq1tqvaCgkFb8cCA/edit?usp=sharing"",""นครราชสีมา!J96"")"),1)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IFERROR(__xludf.DUMMYFUNCTION("IMPORTRANGE(""https://docs.google.com/spreadsheets/d/1XL5vhW3sbDhbH9Cz0tuDiY8C3ctxq1tqvaCgkFb8cCA/edit?usp=sharing"",""นครราชสีมา!J97"")"),1)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IFERROR(__xludf.DUMMYFUNCTION("IMPORTRANGE(""https://docs.google.com/spreadsheets/d/1XL5vhW3sbDhbH9Cz0tuDiY8C3ctxq1tqvaCgkFb8cCA/edit?usp=sharing"",""นครราชสีมา!I98"")"),5)</f>
        <v>5</v>
      </c>
      <c r="J173" s="190">
        <f ca="1">IFERROR(__xludf.DUMMYFUNCTION("IMPORTRANGE(""https://docs.google.com/spreadsheets/d/1XL5vhW3sbDhbH9Cz0tuDiY8C3ctxq1tqvaCgkFb8cCA/edit?usp=sharing"",""นครราชสีมา!J98"")"),5)</f>
        <v>5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IFERROR(__xludf.DUMMYFUNCTION("IMPORTRANGE(""https://docs.google.com/spreadsheets/d/1XL5vhW3sbDhbH9Cz0tuDiY8C3ctxq1tqvaCgkFb8cCA/edit?usp=sharing"",""นครราชสีมา!J99"")"),1)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IFERROR(__xludf.DUMMYFUNCTION("IMPORTRANGE(""https://docs.google.com/spreadsheets/d/1XL5vhW3sbDhbH9Cz0tuDiY8C3ctxq1tqvaCgkFb8cCA/edit?usp=sharing"",""นครราชสีมา!I101"")"),0)</f>
        <v>0</v>
      </c>
      <c r="J176" s="284">
        <f ca="1">IFERROR(__xludf.DUMMYFUNCTION("IMPORTRANGE(""https://docs.google.com/spreadsheets/d/1XL5vhW3sbDhbH9Cz0tuDiY8C3ctxq1tqvaCgkFb8cCA/edit?usp=sharing"",""นครราชสีมา!J101"")"),0)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IFERROR(__xludf.DUMMYFUNCTION("IMPORTRANGE(""https://docs.google.com/spreadsheets/d/1XL5vhW3sbDhbH9Cz0tuDiY8C3ctxq1tqvaCgkFb8cCA/edit?usp=sharing"",""นครราชสีมา!I110"")"),0)</f>
        <v>0</v>
      </c>
      <c r="J185" s="205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IFERROR(__xludf.DUMMYFUNCTION("IMPORTRANGE(""https://docs.google.com/spreadsheets/d/1XL5vhW3sbDhbH9Cz0tuDiY8C3ctxq1tqvaCgkFb8cCA/edit?usp=sharing"",""นครราชสีมา!I111"")"),0)</f>
        <v>0</v>
      </c>
      <c r="J186" s="205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IFERROR(__xludf.DUMMYFUNCTION("IMPORTRANGE(""https://docs.google.com/spreadsheets/d/1XL5vhW3sbDhbH9Cz0tuDiY8C3ctxq1tqvaCgkFb8cCA/edit?usp=sharing"",""นครราชสีมา!I114"")"),70000)</f>
        <v>70000</v>
      </c>
      <c r="J189" s="284">
        <f ca="1">IFERROR(__xludf.DUMMYFUNCTION("IMPORTRANGE(""https://docs.google.com/spreadsheets/d/1XL5vhW3sbDhbH9Cz0tuDiY8C3ctxq1tqvaCgkFb8cCA/edit?usp=sharing"",""นครราชสีมา!J114"")"),0)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IFERROR(__xludf.DUMMYFUNCTION("IMPORTRANGE(""https://docs.google.com/spreadsheets/d/1XL5vhW3sbDhbH9Cz0tuDiY8C3ctxq1tqvaCgkFb8cCA/edit?usp=sharing"",""นครราชสีมา!J119"")"),0)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IFERROR(__xludf.DUMMYFUNCTION("IMPORTRANGE(""https://docs.google.com/spreadsheets/d/1XL5vhW3sbDhbH9Cz0tuDiY8C3ctxq1tqvaCgkFb8cCA/edit?usp=sharing"",""นครราชสีมา!J120"")"),1)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IFERROR(__xludf.DUMMYFUNCTION("IMPORTRANGE(""https://docs.google.com/spreadsheets/d/1XL5vhW3sbDhbH9Cz0tuDiY8C3ctxq1tqvaCgkFb8cCA/edit?usp=sharing"",""นครราชสีมา!J121"")"),1)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IFERROR(__xludf.DUMMYFUNCTION("IMPORTRANGE(""https://docs.google.com/spreadsheets/d/1XL5vhW3sbDhbH9Cz0tuDiY8C3ctxq1tqvaCgkFb8cCA/edit?usp=sharing"",""นครราชสีมา!J122"")"),1)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IFERROR(__xludf.DUMMYFUNCTION("IMPORTRANGE(""https://docs.google.com/spreadsheets/d/1XL5vhW3sbDhbH9Cz0tuDiY8C3ctxq1tqvaCgkFb8cCA/edit?usp=sharing"",""นครราชสีมา!I124"")"),70000)</f>
        <v>70000</v>
      </c>
      <c r="J199" s="190">
        <f ca="1">IFERROR(__xludf.DUMMYFUNCTION("IMPORTRANGE(""https://docs.google.com/spreadsheets/d/1XL5vhW3sbDhbH9Cz0tuDiY8C3ctxq1tqvaCgkFb8cCA/edit?usp=sharing"",""นครราชสีมา!J124"")"),0)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IFERROR(__xludf.DUMMYFUNCTION("IMPORTRANGE(""https://docs.google.com/spreadsheets/d/1XL5vhW3sbDhbH9Cz0tuDiY8C3ctxq1tqvaCgkFb8cCA/edit?usp=sharing"",""นครราชสีมา!I125"")"),70000)</f>
        <v>70000</v>
      </c>
      <c r="J200" s="190">
        <f ca="1">IFERROR(__xludf.DUMMYFUNCTION("IMPORTRANGE(""https://docs.google.com/spreadsheets/d/1XL5vhW3sbDhbH9Cz0tuDiY8C3ctxq1tqvaCgkFb8cCA/edit?usp=sharing"",""นครราชสีมา!J125"")"),0)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IFERROR(__xludf.DUMMYFUNCTION("IMPORTRANGE(""https://docs.google.com/spreadsheets/d/1XL5vhW3sbDhbH9Cz0tuDiY8C3ctxq1tqvaCgkFb8cCA/edit?usp=sharing"",""นครราชสีมา!I126"")"),15)</f>
        <v>15</v>
      </c>
      <c r="J201" s="190">
        <f ca="1">IFERROR(__xludf.DUMMYFUNCTION("IMPORTRANGE(""https://docs.google.com/spreadsheets/d/1XL5vhW3sbDhbH9Cz0tuDiY8C3ctxq1tqvaCgkFb8cCA/edit?usp=sharing"",""นครราชสีมา!J126"")"),0)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IFERROR(__xludf.DUMMYFUNCTION("IMPORTRANGE(""https://docs.google.com/spreadsheets/d/1XL5vhW3sbDhbH9Cz0tuDiY8C3ctxq1tqvaCgkFb8cCA/edit?usp=sharing"",""นครราชสีมา!J127"")"),0)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IFERROR(__xludf.DUMMYFUNCTION("IMPORTRANGE(""https://docs.google.com/spreadsheets/d/1XL5vhW3sbDhbH9Cz0tuDiY8C3ctxq1tqvaCgkFb8cCA/edit?usp=sharing"",""นครราชสีมา!J128"")"),0)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IFERROR(__xludf.DUMMYFUNCTION("IMPORTRANGE(""https://docs.google.com/spreadsheets/d/1XL5vhW3sbDhbH9Cz0tuDiY8C3ctxq1tqvaCgkFb8cCA/edit?usp=sharing"",""นครราชสีมา!I129"")"),0)</f>
        <v>0</v>
      </c>
      <c r="J204" s="284">
        <f ca="1">IFERROR(__xludf.DUMMYFUNCTION("IMPORTRANGE(""https://docs.google.com/spreadsheets/d/1XL5vhW3sbDhbH9Cz0tuDiY8C3ctxq1tqvaCgkFb8cCA/edit?usp=sharing"",""นครราชสีมา!J129"")"),0)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IFERROR(__xludf.DUMMYFUNCTION("IMPORTRANGE(""https://docs.google.com/spreadsheets/d/1XL5vhW3sbDhbH9Cz0tuDiY8C3ctxq1tqvaCgkFb8cCA/edit?usp=sharing"",""นครราชสีมา!I138"")"),0)</f>
        <v>0</v>
      </c>
      <c r="J213" s="205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IFERROR(__xludf.DUMMYFUNCTION("IMPORTRANGE(""https://docs.google.com/spreadsheets/d/1XL5vhW3sbDhbH9Cz0tuDiY8C3ctxq1tqvaCgkFb8cCA/edit?usp=sharing"",""นครราชสีมา!I140"")"),0)</f>
        <v>0</v>
      </c>
      <c r="J215" s="205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IFERROR(__xludf.DUMMYFUNCTION("IMPORTRANGE(""https://docs.google.com/spreadsheets/d/1XL5vhW3sbDhbH9Cz0tuDiY8C3ctxq1tqvaCgkFb8cCA/edit?usp=sharing"",""นครราชสีมา!I141"")"),0)</f>
        <v>0</v>
      </c>
      <c r="J216" s="205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IFERROR(__xludf.DUMMYFUNCTION("IMPORTRANGE(""https://docs.google.com/spreadsheets/d/1Yj_ptqi66GCucihVvJfMjLAmec39IyEx_6qawtMGysU/edit?usp=sharing"",""สบก!BS42"")"),21125)</f>
        <v>21125</v>
      </c>
      <c r="N224" s="170">
        <f ca="1">IFERROR(__xludf.DUMMYFUNCTION("IMPORTRANGE(""https://docs.google.com/spreadsheets/d/1Yj_ptqi66GCucihVvJfMjLAmec39IyEx_6qawtMGysU/edit?usp=sharing"",""สบก!BT42"")"),21125)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IFERROR(__xludf.DUMMYFUNCTION("IMPORTRANGE(""https://docs.google.com/spreadsheets/d/1Yj_ptqi66GCucihVvJfMjLAmec39IyEx_6qawtMGysU/edit?usp=sharing"",""สบก!BO42"")"),0)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IFERROR(__xludf.DUMMYFUNCTION("IMPORTRANGE(""https://docs.google.com/spreadsheets/d/1Yj_ptqi66GCucihVvJfMjLAmec39IyEx_6qawtMGysU/edit?usp=sharing"",""สบก!BP42"")"),21125)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IFERROR(__xludf.DUMMYFUNCTION("IMPORTRANGE(""https://docs.google.com/spreadsheets/d/1XL5vhW3sbDhbH9Cz0tuDiY8C3ctxq1tqvaCgkFb8cCA/edit?usp=sharing"",""นครราชสีมา!J151"")"),0)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IFERROR(__xludf.DUMMYFUNCTION("IMPORTRANGE(""https://docs.google.com/spreadsheets/d/1XL5vhW3sbDhbH9Cz0tuDiY8C3ctxq1tqvaCgkFb8cCA/edit?usp=sharing"",""นครราชสีมา!J152"")"),0)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IFERROR(__xludf.DUMMYFUNCTION("IMPORTRANGE(""https://docs.google.com/spreadsheets/d/1XL5vhW3sbDhbH9Cz0tuDiY8C3ctxq1tqvaCgkFb8cCA/edit?usp=sharing"",""นครราชสีมา!J153"")"),0)</f>
        <v>0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IFERROR(__xludf.DUMMYFUNCTION("IMPORTRANGE(""https://docs.google.com/spreadsheets/d/1XL5vhW3sbDhbH9Cz0tuDiY8C3ctxq1tqvaCgkFb8cCA/edit?usp=sharing"",""นครราชสีมา!J154"")"),0)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IFERROR(__xludf.DUMMYFUNCTION("IMPORTRANGE(""https://docs.google.com/spreadsheets/d/1XL5vhW3sbDhbH9Cz0tuDiY8C3ctxq1tqvaCgkFb8cCA/edit?usp=sharing"",""นครราชสีมา!I155"")"),15)</f>
        <v>15</v>
      </c>
      <c r="J235" s="190">
        <f ca="1">IFERROR(__xludf.DUMMYFUNCTION("IMPORTRANGE(""https://docs.google.com/spreadsheets/d/1XL5vhW3sbDhbH9Cz0tuDiY8C3ctxq1tqvaCgkFb8cCA/edit?usp=sharing"",""นครราชสีมา!J155"")"),15)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IFERROR(__xludf.DUMMYFUNCTION("IMPORTRANGE(""https://docs.google.com/spreadsheets/d/1XL5vhW3sbDhbH9Cz0tuDiY8C3ctxq1tqvaCgkFb8cCA/edit?usp=sharing"",""นครราชสีมา!J156"")"),1)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IFERROR(__xludf.DUMMYFUNCTION("IMPORTRANGE(""https://docs.google.com/spreadsheets/d/1XL5vhW3sbDhbH9Cz0tuDiY8C3ctxq1tqvaCgkFb8cCA/edit?usp=sharing"",""นครราชสีมา!J159"")"),"")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IFERROR(__xludf.DUMMYFUNCTION("IMPORTRANGE(""https://docs.google.com/spreadsheets/d/1XL5vhW3sbDhbH9Cz0tuDiY8C3ctxq1tqvaCgkFb8cCA/edit?usp=sharing"",""นครราชสีมา!J161"")"),0)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IFERROR(__xludf.DUMMYFUNCTION("IMPORTRANGE(""https://docs.google.com/spreadsheets/d/1XL5vhW3sbDhbH9Cz0tuDiY8C3ctxq1tqvaCgkFb8cCA/edit?usp=sharing"",""นครราชสีมา!J162"")"),0)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IFERROR(__xludf.DUMMYFUNCTION("IMPORTRANGE(""https://docs.google.com/spreadsheets/d/1XL5vhW3sbDhbH9Cz0tuDiY8C3ctxq1tqvaCgkFb8cCA/edit?usp=sharing"",""นครราชสีมา!J163"")"),0)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IFERROR(__xludf.DUMMYFUNCTION("IMPORTRANGE(""https://docs.google.com/spreadsheets/d/1XL5vhW3sbDhbH9Cz0tuDiY8C3ctxq1tqvaCgkFb8cCA/edit?usp=sharing"",""นครราชสีมา!I164"")"),0)</f>
        <v>0</v>
      </c>
      <c r="J244" s="189">
        <f ca="1">IFERROR(__xludf.DUMMYFUNCTION("IMPORTRANGE(""https://docs.google.com/spreadsheets/d/1XL5vhW3sbDhbH9Cz0tuDiY8C3ctxq1tqvaCgkFb8cCA/edit?usp=sharing"",""นครราชสีมา!J164"")"),0)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IFERROR(__xludf.DUMMYFUNCTION("IMPORTRANGE(""https://docs.google.com/spreadsheets/d/1XL5vhW3sbDhbH9Cz0tuDiY8C3ctxq1tqvaCgkFb8cCA/edit?usp=sharing"",""นครราชสีมา!J165"")"),0)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IFERROR(__xludf.DUMMYFUNCTION("IMPORTRANGE(""https://docs.google.com/spreadsheets/d/1XL5vhW3sbDhbH9Cz0tuDiY8C3ctxq1tqvaCgkFb8cCA/edit?usp=sharing"",""นครราชสีมา!I169"")"),50)</f>
        <v>50</v>
      </c>
      <c r="J249" s="316">
        <f ca="1">IFERROR(__xludf.DUMMYFUNCTION("IMPORTRANGE(""https://docs.google.com/spreadsheets/d/1XL5vhW3sbDhbH9Cz0tuDiY8C3ctxq1tqvaCgkFb8cCA/edit?usp=sharing"",""นครราชสีมา!J169"")"),25)</f>
        <v>25</v>
      </c>
      <c r="K249" s="317">
        <f ca="1">IF(I249&gt;0,J249*100/I249,0)</f>
        <v>50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292100</v>
      </c>
      <c r="M250" s="152">
        <f t="shared" ca="1" si="77"/>
        <v>150000</v>
      </c>
      <c r="N250" s="152">
        <f t="shared" ca="1" si="77"/>
        <v>90273</v>
      </c>
      <c r="O250" s="151">
        <f t="shared" ref="O250:O252" ca="1" si="78">IF(L250&gt;0,N250*100/L250,0)</f>
        <v>30.904827114002053</v>
      </c>
      <c r="P250" s="151">
        <f t="shared" ref="P250:P252" ca="1" si="79">IF(M250&gt;0,N250*100/M250,0)</f>
        <v>60.182000000000002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292100</v>
      </c>
      <c r="M252" s="157">
        <f t="shared" ca="1" si="81"/>
        <v>150000</v>
      </c>
      <c r="N252" s="157">
        <f t="shared" ca="1" si="81"/>
        <v>90273</v>
      </c>
      <c r="O252" s="156">
        <f t="shared" ca="1" si="78"/>
        <v>30.904827114002053</v>
      </c>
      <c r="P252" s="156">
        <f t="shared" ca="1" si="79"/>
        <v>60.182000000000002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292100</v>
      </c>
      <c r="M254" s="169">
        <f ca="1">IFERROR(__xludf.DUMMYFUNCTION("IMPORTRANGE(""https://docs.google.com/spreadsheets/d/1Yj_ptqi66GCucihVvJfMjLAmec39IyEx_6qawtMGysU/edit?usp=sharing"",""สบก!CB42"")"),150000)</f>
        <v>150000</v>
      </c>
      <c r="N254" s="170">
        <f ca="1">IFERROR(__xludf.DUMMYFUNCTION("IMPORTRANGE(""https://docs.google.com/spreadsheets/d/1Yj_ptqi66GCucihVvJfMjLAmec39IyEx_6qawtMGysU/edit?usp=sharing"",""สบก!CC42"")"),90273)</f>
        <v>90273</v>
      </c>
      <c r="O254" s="170">
        <f ca="1">IF(L254&gt;0,N254*100/L254,0)</f>
        <v>30.904827114002053</v>
      </c>
      <c r="P254" s="170">
        <f ca="1">IF(M254&gt;0,N254*100/M254,0)</f>
        <v>60.182000000000002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IFERROR(__xludf.DUMMYFUNCTION("IMPORTRANGE(""https://docs.google.com/spreadsheets/d/1Yj_ptqi66GCucihVvJfMjLAmec39IyEx_6qawtMGysU/edit?usp=sharing"",""สบก!BX42"")"),0)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IFERROR(__xludf.DUMMYFUNCTION("IMPORTRANGE(""https://docs.google.com/spreadsheets/d/1Yj_ptqi66GCucihVvJfMjLAmec39IyEx_6qawtMGysU/edit?usp=sharing"",""สบก!BY42"")"),292100)</f>
        <v>292100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IFERROR(__xludf.DUMMYFUNCTION("IMPORTRANGE(""https://docs.google.com/spreadsheets/d/1XL5vhW3sbDhbH9Cz0tuDiY8C3ctxq1tqvaCgkFb8cCA/edit?usp=sharing"",""นครราชสีมา!J175"")"),0)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IFERROR(__xludf.DUMMYFUNCTION("IMPORTRANGE(""https://docs.google.com/spreadsheets/d/1XL5vhW3sbDhbH9Cz0tuDiY8C3ctxq1tqvaCgkFb8cCA/edit?usp=sharing"",""นครราชสีมา!J176"")"),1)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IFERROR(__xludf.DUMMYFUNCTION("IMPORTRANGE(""https://docs.google.com/spreadsheets/d/1XL5vhW3sbDhbH9Cz0tuDiY8C3ctxq1tqvaCgkFb8cCA/edit?usp=sharing"",""นครราชสีมา!J177"")"),1)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IFERROR(__xludf.DUMMYFUNCTION("IMPORTRANGE(""https://docs.google.com/spreadsheets/d/1XL5vhW3sbDhbH9Cz0tuDiY8C3ctxq1tqvaCgkFb8cCA/edit?usp=sharing"",""นครราชสีมา!J178"")"),1)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IFERROR(__xludf.DUMMYFUNCTION("IMPORTRANGE(""https://docs.google.com/spreadsheets/d/1XL5vhW3sbDhbH9Cz0tuDiY8C3ctxq1tqvaCgkFb8cCA/edit?usp=sharing"",""นครราชสีมา!I179"")"),1)</f>
        <v>1</v>
      </c>
      <c r="J264" s="190">
        <f ca="1">IFERROR(__xludf.DUMMYFUNCTION("IMPORTRANGE(""https://docs.google.com/spreadsheets/d/1XL5vhW3sbDhbH9Cz0tuDiY8C3ctxq1tqvaCgkFb8cCA/edit?usp=sharing"",""นครราชสีมา!J179"")"),0)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IFERROR(__xludf.DUMMYFUNCTION("IMPORTRANGE(""https://docs.google.com/spreadsheets/d/1XL5vhW3sbDhbH9Cz0tuDiY8C3ctxq1tqvaCgkFb8cCA/edit?usp=sharing"",""นครราชสีมา!I180"")"),50)</f>
        <v>50</v>
      </c>
      <c r="J265" s="190">
        <f ca="1">IFERROR(__xludf.DUMMYFUNCTION("IMPORTRANGE(""https://docs.google.com/spreadsheets/d/1XL5vhW3sbDhbH9Cz0tuDiY8C3ctxq1tqvaCgkFb8cCA/edit?usp=sharing"",""นครราชสีมา!J180"")"),25)</f>
        <v>25</v>
      </c>
      <c r="K265" s="165">
        <f t="shared" ca="1" si="82"/>
        <v>50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IFERROR(__xludf.DUMMYFUNCTION("IMPORTRANGE(""https://docs.google.com/spreadsheets/d/1XL5vhW3sbDhbH9Cz0tuDiY8C3ctxq1tqvaCgkFb8cCA/edit?usp=sharing"",""นครราชสีมา!I181"")"),50)</f>
        <v>50</v>
      </c>
      <c r="J266" s="190">
        <f ca="1">IFERROR(__xludf.DUMMYFUNCTION("IMPORTRANGE(""https://docs.google.com/spreadsheets/d/1XL5vhW3sbDhbH9Cz0tuDiY8C3ctxq1tqvaCgkFb8cCA/edit?usp=sharing"",""นครราชสีมา!J181"")"),0)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IFERROR(__xludf.DUMMYFUNCTION("IMPORTRANGE(""https://docs.google.com/spreadsheets/d/1XL5vhW3sbDhbH9Cz0tuDiY8C3ctxq1tqvaCgkFb8cCA/edit?usp=sharing"",""นครราชสีมา!I182"")"),1)</f>
        <v>1</v>
      </c>
      <c r="J267" s="190">
        <f ca="1">IFERROR(__xludf.DUMMYFUNCTION("IMPORTRANGE(""https://docs.google.com/spreadsheets/d/1XL5vhW3sbDhbH9Cz0tuDiY8C3ctxq1tqvaCgkFb8cCA/edit?usp=sharing"",""นครราชสีมา!J182"")"),0)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IFERROR(__xludf.DUMMYFUNCTION("IMPORTRANGE(""https://docs.google.com/spreadsheets/d/1XL5vhW3sbDhbH9Cz0tuDiY8C3ctxq1tqvaCgkFb8cCA/edit?usp=sharing"",""นครราชสีมา!J183"")"),0)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IFERROR(__xludf.DUMMYFUNCTION("IMPORTRANGE(""https://docs.google.com/spreadsheets/d/1XL5vhW3sbDhbH9Cz0tuDiY8C3ctxq1tqvaCgkFb8cCA/edit?usp=sharing"",""นครราชสีมา!J184"")"),0)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IFERROR(__xludf.DUMMYFUNCTION("IMPORTRANGE(""https://docs.google.com/spreadsheets/d/1XL5vhW3sbDhbH9Cz0tuDiY8C3ctxq1tqvaCgkFb8cCA/edit?usp=sharing"",""นครราชสีมา!I185"")"),20)</f>
        <v>20</v>
      </c>
      <c r="J270" s="316">
        <f ca="1">IFERROR(__xludf.DUMMYFUNCTION("IMPORTRANGE(""https://docs.google.com/spreadsheets/d/1XL5vhW3sbDhbH9Cz0tuDiY8C3ctxq1tqvaCgkFb8cCA/edit?usp=sharing"",""นครราชสีมา!J185"")"),20)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73600</v>
      </c>
      <c r="M271" s="152">
        <f t="shared" ca="1" si="83"/>
        <v>33000</v>
      </c>
      <c r="N271" s="152">
        <f t="shared" ca="1" si="83"/>
        <v>23810</v>
      </c>
      <c r="O271" s="151">
        <f t="shared" ref="O271:O273" ca="1" si="84">IF(L271&gt;0,N271*100/L271,0)</f>
        <v>32.350543478260867</v>
      </c>
      <c r="P271" s="151">
        <f t="shared" ref="P271:P273" ca="1" si="85">IF(M271&gt;0,N271*100/M271,0)</f>
        <v>72.151515151515156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73600</v>
      </c>
      <c r="M273" s="157">
        <f t="shared" ca="1" si="87"/>
        <v>33000</v>
      </c>
      <c r="N273" s="157">
        <f t="shared" ca="1" si="87"/>
        <v>23810</v>
      </c>
      <c r="O273" s="156">
        <f t="shared" ca="1" si="84"/>
        <v>32.350543478260867</v>
      </c>
      <c r="P273" s="156">
        <f t="shared" ca="1" si="85"/>
        <v>72.151515151515156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73600</v>
      </c>
      <c r="M275" s="169">
        <f ca="1">IFERROR(__xludf.DUMMYFUNCTION("IMPORTRANGE(""https://docs.google.com/spreadsheets/d/1Yj_ptqi66GCucihVvJfMjLAmec39IyEx_6qawtMGysU/edit?usp=sharing"",""สบก!CK42"")"),33000)</f>
        <v>33000</v>
      </c>
      <c r="N275" s="170">
        <f ca="1">IFERROR(__xludf.DUMMYFUNCTION("IMPORTRANGE(""https://docs.google.com/spreadsheets/d/1Yj_ptqi66GCucihVvJfMjLAmec39IyEx_6qawtMGysU/edit?usp=sharing"",""สบก!CL42"")"),23810)</f>
        <v>23810</v>
      </c>
      <c r="O275" s="170">
        <f ca="1">IF(L275&gt;0,N275*100/L275,0)</f>
        <v>32.350543478260867</v>
      </c>
      <c r="P275" s="170">
        <f ca="1">IF(M275&gt;0,N275*100/M275,0)</f>
        <v>72.151515151515156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IFERROR(__xludf.DUMMYFUNCTION("IMPORTRANGE(""https://docs.google.com/spreadsheets/d/1Yj_ptqi66GCucihVvJfMjLAmec39IyEx_6qawtMGysU/edit?usp=sharing"",""สบก!CG42"")"),0)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IFERROR(__xludf.DUMMYFUNCTION("IMPORTRANGE(""https://docs.google.com/spreadsheets/d/1Yj_ptqi66GCucihVvJfMjLAmec39IyEx_6qawtMGysU/edit?usp=sharing"",""สบก!CH42"")"),73600)</f>
        <v>73600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IFERROR(__xludf.DUMMYFUNCTION("IMPORTRANGE(""https://docs.google.com/spreadsheets/d/1XL5vhW3sbDhbH9Cz0tuDiY8C3ctxq1tqvaCgkFb8cCA/edit?usp=sharing"",""นครราชสีมา!J191"")"),0)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IFERROR(__xludf.DUMMYFUNCTION("IMPORTRANGE(""https://docs.google.com/spreadsheets/d/1XL5vhW3sbDhbH9Cz0tuDiY8C3ctxq1tqvaCgkFb8cCA/edit?usp=sharing"",""นครราชสีมา!J192"")"),1)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IFERROR(__xludf.DUMMYFUNCTION("IMPORTRANGE(""https://docs.google.com/spreadsheets/d/1XL5vhW3sbDhbH9Cz0tuDiY8C3ctxq1tqvaCgkFb8cCA/edit?usp=sharing"",""นครราชสีมา!J193"")"),1)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IFERROR(__xludf.DUMMYFUNCTION("IMPORTRANGE(""https://docs.google.com/spreadsheets/d/1XL5vhW3sbDhbH9Cz0tuDiY8C3ctxq1tqvaCgkFb8cCA/edit?usp=sharing"",""นครราชสีมา!J194"")"),1)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IFERROR(__xludf.DUMMYFUNCTION("IMPORTRANGE(""https://docs.google.com/spreadsheets/d/1XL5vhW3sbDhbH9Cz0tuDiY8C3ctxq1tqvaCgkFb8cCA/edit?usp=sharing"",""นครราชสีมา!I195"")"),20)</f>
        <v>20</v>
      </c>
      <c r="J285" s="190">
        <f ca="1">IFERROR(__xludf.DUMMYFUNCTION("IMPORTRANGE(""https://docs.google.com/spreadsheets/d/1XL5vhW3sbDhbH9Cz0tuDiY8C3ctxq1tqvaCgkFb8cCA/edit?usp=sharing"",""นครราชสีมา!J195"")"),20)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IFERROR(__xludf.DUMMYFUNCTION("IMPORTRANGE(""https://docs.google.com/spreadsheets/d/1XL5vhW3sbDhbH9Cz0tuDiY8C3ctxq1tqvaCgkFb8cCA/edit?usp=sharing"",""นครราชสีมา!J196"")"),0)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IFERROR(__xludf.DUMMYFUNCTION("IMPORTRANGE(""https://docs.google.com/spreadsheets/d/1XL5vhW3sbDhbH9Cz0tuDiY8C3ctxq1tqvaCgkFb8cCA/edit?usp=sharing"",""นครราชสีมา!I199"")"),20)</f>
        <v>20</v>
      </c>
      <c r="J289" s="316">
        <f ca="1">IFERROR(__xludf.DUMMYFUNCTION("IMPORTRANGE(""https://docs.google.com/spreadsheets/d/1XL5vhW3sbDhbH9Cz0tuDiY8C3ctxq1tqvaCgkFb8cCA/edit?usp=sharing"",""นครราชสีมา!J199"")"),20)</f>
        <v>20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36228</v>
      </c>
      <c r="O290" s="151">
        <f t="shared" ref="O290:O292" ca="1" si="89">IF(L290&gt;0,N290*100/L290,0)</f>
        <v>48.355579284570211</v>
      </c>
      <c r="P290" s="151">
        <f t="shared" ref="P290:P292" ca="1" si="90">IF(M290&gt;0,N290*100/M290,0)</f>
        <v>48.355579284570211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36228</v>
      </c>
      <c r="O292" s="156">
        <f t="shared" ca="1" si="89"/>
        <v>48.355579284570211</v>
      </c>
      <c r="P292" s="156">
        <f t="shared" ca="1" si="90"/>
        <v>48.355579284570211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74920</v>
      </c>
      <c r="M294" s="169">
        <f ca="1">IFERROR(__xludf.DUMMYFUNCTION("IMPORTRANGE(""https://docs.google.com/spreadsheets/d/1Yj_ptqi66GCucihVvJfMjLAmec39IyEx_6qawtMGysU/edit?usp=sharing"",""สบก!CT42"")"),74920)</f>
        <v>74920</v>
      </c>
      <c r="N294" s="170">
        <f ca="1">IFERROR(__xludf.DUMMYFUNCTION("IMPORTRANGE(""https://docs.google.com/spreadsheets/d/1Yj_ptqi66GCucihVvJfMjLAmec39IyEx_6qawtMGysU/edit?usp=sharing"",""สบก!CU42"")"),36228)</f>
        <v>36228</v>
      </c>
      <c r="O294" s="170">
        <f ca="1">IF(L294&gt;0,N294*100/L294,0)</f>
        <v>48.355579284570211</v>
      </c>
      <c r="P294" s="170">
        <f ca="1">IF(M294&gt;0,N294*100/M294,0)</f>
        <v>48.355579284570211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IFERROR(__xludf.DUMMYFUNCTION("IMPORTRANGE(""https://docs.google.com/spreadsheets/d/1Yj_ptqi66GCucihVvJfMjLAmec39IyEx_6qawtMGysU/edit?usp=sharing"",""สบก!CP42"")"),0)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IFERROR(__xludf.DUMMYFUNCTION("IMPORTRANGE(""https://docs.google.com/spreadsheets/d/1Yj_ptqi66GCucihVvJfMjLAmec39IyEx_6qawtMGysU/edit?usp=sharing"",""สบก!CQ42"")"),74920)</f>
        <v>74920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IFERROR(__xludf.DUMMYFUNCTION("IMPORTRANGE(""https://docs.google.com/spreadsheets/d/1XL5vhW3sbDhbH9Cz0tuDiY8C3ctxq1tqvaCgkFb8cCA/edit?usp=sharing"",""นครราชสีมา!J206"")"),1)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IFERROR(__xludf.DUMMYFUNCTION("IMPORTRANGE(""https://docs.google.com/spreadsheets/d/1XL5vhW3sbDhbH9Cz0tuDiY8C3ctxq1tqvaCgkFb8cCA/edit?usp=sharing"",""นครราชสีมา!J207"")"),1)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IFERROR(__xludf.DUMMYFUNCTION("IMPORTRANGE(""https://docs.google.com/spreadsheets/d/1XL5vhW3sbDhbH9Cz0tuDiY8C3ctxq1tqvaCgkFb8cCA/edit?usp=sharing"",""นครราชสีมา!J208"")"),1)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IFERROR(__xludf.DUMMYFUNCTION("IMPORTRANGE(""https://docs.google.com/spreadsheets/d/1XL5vhW3sbDhbH9Cz0tuDiY8C3ctxq1tqvaCgkFb8cCA/edit?usp=sharing"",""นครราชสีมา!I209"")"),20)</f>
        <v>20</v>
      </c>
      <c r="J304" s="205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IFERROR(__xludf.DUMMYFUNCTION("IMPORTRANGE(""https://docs.google.com/spreadsheets/d/1XL5vhW3sbDhbH9Cz0tuDiY8C3ctxq1tqvaCgkFb8cCA/edit?usp=sharing"",""นครราชสีมา!I211"")"),20)</f>
        <v>20</v>
      </c>
      <c r="J306" s="205">
        <f ca="1">IFERROR(__xludf.DUMMYFUNCTION("IMPORTRANGE(""https://docs.google.com/spreadsheets/d/1XL5vhW3sbDhbH9Cz0tuDiY8C3ctxq1tqvaCgkFb8cCA/edit?usp=sharing"",""นครราชสีมา!J211"")"),0)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IFERROR(__xludf.DUMMYFUNCTION("IMPORTRANGE(""https://docs.google.com/spreadsheets/d/1XL5vhW3sbDhbH9Cz0tuDiY8C3ctxq1tqvaCgkFb8cCA/edit?usp=sharing"",""นครราชสีมา!J213"")"),0)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IFERROR(__xludf.DUMMYFUNCTION("IMPORTRANGE(""https://docs.google.com/spreadsheets/d/1XL5vhW3sbDhbH9Cz0tuDiY8C3ctxq1tqvaCgkFb8cCA/edit?usp=sharing"",""นครราชสีมา!I214"")"),2)</f>
        <v>2</v>
      </c>
      <c r="J309" s="333">
        <f ca="1">IFERROR(__xludf.DUMMYFUNCTION("IMPORTRANGE(""https://docs.google.com/spreadsheets/d/1XL5vhW3sbDhbH9Cz0tuDiY8C3ctxq1tqvaCgkFb8cCA/edit?usp=sharing"",""นครราชสีมา!J214"")"),2)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447600</v>
      </c>
      <c r="M310" s="152">
        <f t="shared" ca="1" si="93"/>
        <v>223800</v>
      </c>
      <c r="N310" s="152">
        <f t="shared" ca="1" si="93"/>
        <v>150986</v>
      </c>
      <c r="O310" s="151">
        <f t="shared" ref="O310:O312" ca="1" si="94">IF(L310&gt;0,N310*100/L310,0)</f>
        <v>33.732350312779268</v>
      </c>
      <c r="P310" s="151">
        <f t="shared" ref="P310:P312" ca="1" si="95">IF(M310&gt;0,N310*100/M310,0)</f>
        <v>67.464700625558535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447600</v>
      </c>
      <c r="M312" s="157">
        <f t="shared" ca="1" si="97"/>
        <v>223800</v>
      </c>
      <c r="N312" s="157">
        <f t="shared" ca="1" si="97"/>
        <v>150986</v>
      </c>
      <c r="O312" s="156">
        <f t="shared" ca="1" si="94"/>
        <v>33.732350312779268</v>
      </c>
      <c r="P312" s="156">
        <f t="shared" ca="1" si="95"/>
        <v>67.464700625558535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447600</v>
      </c>
      <c r="M314" s="169">
        <f ca="1">IFERROR(__xludf.DUMMYFUNCTION("IMPORTRANGE(""https://docs.google.com/spreadsheets/d/1Yj_ptqi66GCucihVvJfMjLAmec39IyEx_6qawtMGysU/edit?usp=sharing"",""สบก!DC42"")"),223800)</f>
        <v>223800</v>
      </c>
      <c r="N314" s="170">
        <f ca="1">IFERROR(__xludf.DUMMYFUNCTION("IMPORTRANGE(""https://docs.google.com/spreadsheets/d/1Yj_ptqi66GCucihVvJfMjLAmec39IyEx_6qawtMGysU/edit?usp=sharing"",""สบก!DD42"")"),150986)</f>
        <v>150986</v>
      </c>
      <c r="O314" s="170">
        <f ca="1">IF(L314&gt;0,N314*100/L314,0)</f>
        <v>33.732350312779268</v>
      </c>
      <c r="P314" s="170">
        <f ca="1">IF(M314&gt;0,N314*100/M314,0)</f>
        <v>67.464700625558535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IFERROR(__xludf.DUMMYFUNCTION("IMPORTRANGE(""https://docs.google.com/spreadsheets/d/1Yj_ptqi66GCucihVvJfMjLAmec39IyEx_6qawtMGysU/edit?usp=sharing"",""สบก!CY42"")"),0)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IFERROR(__xludf.DUMMYFUNCTION("IMPORTRANGE(""https://docs.google.com/spreadsheets/d/1Yj_ptqi66GCucihVvJfMjLAmec39IyEx_6qawtMGysU/edit?usp=sharing"",""สบก!CZ42"")"),447600)</f>
        <v>447600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IFERROR(__xludf.DUMMYFUNCTION("IMPORTRANGE(""https://docs.google.com/spreadsheets/d/1XL5vhW3sbDhbH9Cz0tuDiY8C3ctxq1tqvaCgkFb8cCA/edit?usp=sharing"",""นครราชสีมา!J222"")"),1)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IFERROR(__xludf.DUMMYFUNCTION("IMPORTRANGE(""https://docs.google.com/spreadsheets/d/1XL5vhW3sbDhbH9Cz0tuDiY8C3ctxq1tqvaCgkFb8cCA/edit?usp=sharing"",""นครราชสีมา!J223"")"),1)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IFERROR(__xludf.DUMMYFUNCTION("IMPORTRANGE(""https://docs.google.com/spreadsheets/d/1XL5vhW3sbDhbH9Cz0tuDiY8C3ctxq1tqvaCgkFb8cCA/edit?usp=sharing"",""นครราชสีมา!I224"")"),2)</f>
        <v>2</v>
      </c>
      <c r="J324" s="205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IFERROR(__xludf.DUMMYFUNCTION("IMPORTRANGE(""https://docs.google.com/spreadsheets/d/1XL5vhW3sbDhbH9Cz0tuDiY8C3ctxq1tqvaCgkFb8cCA/edit?usp=sharing"",""นครราชสีมา!I228"")"),1550)</f>
        <v>1550</v>
      </c>
      <c r="J328" s="339">
        <f ca="1">IFERROR(__xludf.DUMMYFUNCTION("IMPORTRANGE(""https://docs.google.com/spreadsheets/d/1XL5vhW3sbDhbH9Cz0tuDiY8C3ctxq1tqvaCgkFb8cCA/edit?usp=sharing"",""นครราชสีมา!J228"")"),638)</f>
        <v>638</v>
      </c>
      <c r="K328" s="317">
        <f ca="1">IF(I328&gt;0,J328*100/I328,0)</f>
        <v>41.161290322580648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2505960</v>
      </c>
      <c r="M329" s="152">
        <f t="shared" ca="1" si="98"/>
        <v>1502390</v>
      </c>
      <c r="N329" s="152">
        <f t="shared" ca="1" si="98"/>
        <v>1360402</v>
      </c>
      <c r="O329" s="151">
        <f t="shared" ref="O329:O331" ca="1" si="99">IF(L329&gt;0,N329*100/L329,0)</f>
        <v>54.286660601126911</v>
      </c>
      <c r="P329" s="151">
        <f t="shared" ref="P329:P331" ca="1" si="100">IF(M329&gt;0,N329*100/M329,0)</f>
        <v>90.549191621349976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2505960</v>
      </c>
      <c r="M331" s="157">
        <f t="shared" ca="1" si="102"/>
        <v>1502390</v>
      </c>
      <c r="N331" s="157">
        <f t="shared" ca="1" si="102"/>
        <v>1360402</v>
      </c>
      <c r="O331" s="156">
        <f t="shared" ca="1" si="99"/>
        <v>54.286660601126911</v>
      </c>
      <c r="P331" s="156">
        <f t="shared" ca="1" si="100"/>
        <v>90.549191621349976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2505960</v>
      </c>
      <c r="M333" s="169">
        <f ca="1">IFERROR(__xludf.DUMMYFUNCTION("IMPORTRANGE(""https://docs.google.com/spreadsheets/d/1Yj_ptqi66GCucihVvJfMjLAmec39IyEx_6qawtMGysU/edit?usp=sharing"",""สบก!DL42"")"),1502390)</f>
        <v>1502390</v>
      </c>
      <c r="N333" s="170">
        <f ca="1">IFERROR(__xludf.DUMMYFUNCTION("IMPORTRANGE(""https://docs.google.com/spreadsheets/d/1Yj_ptqi66GCucihVvJfMjLAmec39IyEx_6qawtMGysU/edit?usp=sharing"",""สบก!DM42"")"),1360402)</f>
        <v>1360402</v>
      </c>
      <c r="O333" s="170">
        <f ca="1">IF(L333&gt;0,N333*100/L333,0)</f>
        <v>54.286660601126911</v>
      </c>
      <c r="P333" s="170">
        <f ca="1">IF(M333&gt;0,N333*100/M333,0)</f>
        <v>90.549191621349976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IFERROR(__xludf.DUMMYFUNCTION("IMPORTRANGE(""https://docs.google.com/spreadsheets/d/1Yj_ptqi66GCucihVvJfMjLAmec39IyEx_6qawtMGysU/edit?usp=sharing"",""สบก!DH42"")"),666000)</f>
        <v>666000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IFERROR(__xludf.DUMMYFUNCTION("IMPORTRANGE(""https://docs.google.com/spreadsheets/d/1Yj_ptqi66GCucihVvJfMjLAmec39IyEx_6qawtMGysU/edit?usp=sharing"",""สบก!DI42"")"),1839960)</f>
        <v>1839960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IFERROR(__xludf.DUMMYFUNCTION("IMPORTRANGE(""https://docs.google.com/spreadsheets/d/1XL5vhW3sbDhbH9Cz0tuDiY8C3ctxq1tqvaCgkFb8cCA/edit?usp=sharing"",""นครราชสีมา!I234"")"),0)</f>
        <v>0</v>
      </c>
      <c r="J339" s="189">
        <f ca="1">IFERROR(__xludf.DUMMYFUNCTION("IMPORTRANGE(""https://docs.google.com/spreadsheets/d/1XL5vhW3sbDhbH9Cz0tuDiY8C3ctxq1tqvaCgkFb8cCA/edit?usp=sharing"",""นครราชสีมา!J234"")"),631)</f>
        <v>631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IFERROR(__xludf.DUMMYFUNCTION("IMPORTRANGE(""https://docs.google.com/spreadsheets/d/1XL5vhW3sbDhbH9Cz0tuDiY8C3ctxq1tqvaCgkFb8cCA/edit?usp=sharing"",""นครราชสีมา!I235"")"),15600)</f>
        <v>15600</v>
      </c>
      <c r="J340" s="189">
        <f ca="1">IFERROR(__xludf.DUMMYFUNCTION("IMPORTRANGE(""https://docs.google.com/spreadsheets/d/1XL5vhW3sbDhbH9Cz0tuDiY8C3ctxq1tqvaCgkFb8cCA/edit?usp=sharing"",""นครราชสีมา!J235"")"),5973.19)</f>
        <v>5973.19</v>
      </c>
      <c r="K340" s="342">
        <f t="shared" ca="1" si="103"/>
        <v>38.289679487179484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IFERROR(__xludf.DUMMYFUNCTION("IMPORTRANGE(""https://docs.google.com/spreadsheets/d/1XL5vhW3sbDhbH9Cz0tuDiY8C3ctxq1tqvaCgkFb8cCA/edit?usp=sharing"",""นครราชสีมา!I236"")"),1550)</f>
        <v>1550</v>
      </c>
      <c r="J341" s="189">
        <f ca="1">IFERROR(__xludf.DUMMYFUNCTION("IMPORTRANGE(""https://docs.google.com/spreadsheets/d/1XL5vhW3sbDhbH9Cz0tuDiY8C3ctxq1tqvaCgkFb8cCA/edit?usp=sharing"",""นครราชสีมา!J236"")"),936)</f>
        <v>936</v>
      </c>
      <c r="K341" s="342">
        <f t="shared" ca="1" si="103"/>
        <v>60.387096774193552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9">
        <f ca="1">IFERROR(__xludf.DUMMYFUNCTION("IMPORTRANGE(""https://docs.google.com/spreadsheets/d/1XL5vhW3sbDhbH9Cz0tuDiY8C3ctxq1tqvaCgkFb8cCA/edit?usp=sharing"",""นครราชสีมา!J237"")"),12287.22)</f>
        <v>12287.22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IFERROR(__xludf.DUMMYFUNCTION("IMPORTRANGE(""https://docs.google.com/spreadsheets/d/1XL5vhW3sbDhbH9Cz0tuDiY8C3ctxq1tqvaCgkFb8cCA/edit?usp=sharing"",""นครราชสีมา!I238"")"),1550)</f>
        <v>1550</v>
      </c>
      <c r="J343" s="189">
        <f ca="1">IFERROR(__xludf.DUMMYFUNCTION("IMPORTRANGE(""https://docs.google.com/spreadsheets/d/1XL5vhW3sbDhbH9Cz0tuDiY8C3ctxq1tqvaCgkFb8cCA/edit?usp=sharing"",""นครราชสีมา!J238"")"),0)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9">
        <f ca="1">IFERROR(__xludf.DUMMYFUNCTION("IMPORTRANGE(""https://docs.google.com/spreadsheets/d/1XL5vhW3sbDhbH9Cz0tuDiY8C3ctxq1tqvaCgkFb8cCA/edit?usp=sharing"",""นครราชสีมา!J239"")"),0)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IFERROR(__xludf.DUMMYFUNCTION("IMPORTRANGE(""https://docs.google.com/spreadsheets/d/1XL5vhW3sbDhbH9Cz0tuDiY8C3ctxq1tqvaCgkFb8cCA/edit?usp=sharing"",""นครราชสีมา!I240"")"),1550)</f>
        <v>1550</v>
      </c>
      <c r="J345" s="189">
        <f ca="1">IFERROR(__xludf.DUMMYFUNCTION("IMPORTRANGE(""https://docs.google.com/spreadsheets/d/1XL5vhW3sbDhbH9Cz0tuDiY8C3ctxq1tqvaCgkFb8cCA/edit?usp=sharing"",""นครราชสีมา!J240"")"),638)</f>
        <v>638</v>
      </c>
      <c r="K345" s="342">
        <f t="shared" ca="1" si="103"/>
        <v>41.161290322580648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9">
        <f ca="1">IFERROR(__xludf.DUMMYFUNCTION("IMPORTRANGE(""https://docs.google.com/spreadsheets/d/1XL5vhW3sbDhbH9Cz0tuDiY8C3ctxq1tqvaCgkFb8cCA/edit?usp=sharing"",""นครราชสีมา!J241"")"),8954.17)</f>
        <v>8954.17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IFERROR(__xludf.DUMMYFUNCTION("IMPORTRANGE(""https://docs.google.com/spreadsheets/d/1XL5vhW3sbDhbH9Cz0tuDiY8C3ctxq1tqvaCgkFb8cCA/edit?usp=sharing"",""นครราชสีมา!L242"")"),4380421)</f>
        <v>4380421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IFERROR(__xludf.DUMMYFUNCTION("IMPORTRANGE(""https://docs.google.com/spreadsheets/d/1XL5vhW3sbDhbH9Cz0tuDiY8C3ctxq1tqvaCgkFb8cCA/edit?usp=sharing"",""นครราชสีมา!M242"")"),1737778.56999999)</f>
        <v>1737778.5699999901</v>
      </c>
      <c r="O347" s="358">
        <f ca="1">+IF(L347&gt;0,N347*100/L347,0)</f>
        <v>39.671496643815516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IFERROR(__xludf.DUMMYFUNCTION("IMPORTRANGE(""https://docs.google.com/spreadsheets/d/1XL5vhW3sbDhbH9Cz0tuDiY8C3ctxq1tqvaCgkFb8cCA/edit?usp=sharing"",""นครราชสีมา!M244"")"),397399.92)</f>
        <v>397399.92</v>
      </c>
      <c r="O349" s="373">
        <f ca="1">+IF(L349&gt;0,N349*100/L349,0)</f>
        <v>75.094467120181406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IFERROR(__xludf.DUMMYFUNCTION("IMPORTRANGE(""https://docs.google.com/spreadsheets/d/1XL5vhW3sbDhbH9Cz0tuDiY8C3ctxq1tqvaCgkFb8cCA/edit?usp=sharing"",""นครราชสีมา!L246"")"),0)</f>
        <v>0</v>
      </c>
      <c r="M351" s="166"/>
      <c r="N351" s="166">
        <f ca="1">IFERROR(__xludf.DUMMYFUNCTION("IMPORTRANGE(""https://docs.google.com/spreadsheets/d/1XL5vhW3sbDhbH9Cz0tuDiY8C3ctxq1tqvaCgkFb8cCA/edit?usp=sharing"",""นครราชสีมา!M246"")"),0)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7"/>
      <c r="N352" s="166">
        <f ca="1">IFERROR(__xludf.DUMMYFUNCTION("IMPORTRANGE(""https://docs.google.com/spreadsheets/d/1XL5vhW3sbDhbH9Cz0tuDiY8C3ctxq1tqvaCgkFb8cCA/edit?usp=sharing"",""นครราชสีมา!M247"")"),397399.92)</f>
        <v>397399.92</v>
      </c>
      <c r="O352" s="167">
        <f t="shared" ca="1" si="105"/>
        <v>75.094467120181406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IFERROR(__xludf.DUMMYFUNCTION("IMPORTRANGE(""https://docs.google.com/spreadsheets/d/1XL5vhW3sbDhbH9Cz0tuDiY8C3ctxq1tqvaCgkFb8cCA/edit?usp=sharing"",""นครราชสีมา!L248"")"),0)</f>
        <v>0</v>
      </c>
      <c r="M353" s="170"/>
      <c r="N353" s="170">
        <f ca="1">IFERROR(__xludf.DUMMYFUNCTION("IMPORTRANGE(""https://docs.google.com/spreadsheets/d/1XL5vhW3sbDhbH9Cz0tuDiY8C3ctxq1tqvaCgkFb8cCA/edit?usp=sharing"",""นครราชสีมา!M248"")"),0)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IFERROR(__xludf.DUMMYFUNCTION("IMPORTRANGE(""https://docs.google.com/spreadsheets/d/1XL5vhW3sbDhbH9Cz0tuDiY8C3ctxq1tqvaCgkFb8cCA/edit?usp=sharing"",""นครราชสีมา!L249"")"),529200)</f>
        <v>529200</v>
      </c>
      <c r="M354" s="170"/>
      <c r="N354" s="169">
        <f ca="1">IFERROR(__xludf.DUMMYFUNCTION("IMPORTRANGE(""https://docs.google.com/spreadsheets/d/1XL5vhW3sbDhbH9Cz0tuDiY8C3ctxq1tqvaCgkFb8cCA/edit?usp=sharing"",""นครราชสีมา!M249"")"),397399.92)</f>
        <v>397399.92</v>
      </c>
      <c r="O354" s="170">
        <f t="shared" ca="1" si="105"/>
        <v>75.094467120181406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IFERROR(__xludf.DUMMYFUNCTION("IMPORTRANGE(""https://docs.google.com/spreadsheets/d/1XL5vhW3sbDhbH9Cz0tuDiY8C3ctxq1tqvaCgkFb8cCA/edit?usp=sharing"",""นครราชสีมา!M252"")"),49399.92)</f>
        <v>49399.92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IFERROR(__xludf.DUMMYFUNCTION("IMPORTRANGE(""https://docs.google.com/spreadsheets/d/1XL5vhW3sbDhbH9Cz0tuDiY8C3ctxq1tqvaCgkFb8cCA/edit?usp=sharing"",""นครราชสีมา!M253"")"),5200)</f>
        <v>5200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IFERROR(__xludf.DUMMYFUNCTION("IMPORTRANGE(""https://docs.google.com/spreadsheets/d/1XL5vhW3sbDhbH9Cz0tuDiY8C3ctxq1tqvaCgkFb8cCA/edit?usp=sharing"",""นครราชสีมา!J255"")"),0)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IFERROR(__xludf.DUMMYFUNCTION("IMPORTRANGE(""https://docs.google.com/spreadsheets/d/1XL5vhW3sbDhbH9Cz0tuDiY8C3ctxq1tqvaCgkFb8cCA/edit?usp=sharing"",""นครราชสีมา!J256"")"),1)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IFERROR(__xludf.DUMMYFUNCTION("IMPORTRANGE(""https://docs.google.com/spreadsheets/d/1XL5vhW3sbDhbH9Cz0tuDiY8C3ctxq1tqvaCgkFb8cCA/edit?usp=sharing"",""นครราชสีมา!J257"")"),1)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IFERROR(__xludf.DUMMYFUNCTION("IMPORTRANGE(""https://docs.google.com/spreadsheets/d/1XL5vhW3sbDhbH9Cz0tuDiY8C3ctxq1tqvaCgkFb8cCA/edit?usp=sharing"",""นครราชสีมา!J258"")"),1)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IFERROR(__xludf.DUMMYFUNCTION("IMPORTRANGE(""https://docs.google.com/spreadsheets/d/1XL5vhW3sbDhbH9Cz0tuDiY8C3ctxq1tqvaCgkFb8cCA/edit?usp=sharing"",""นครราชสีมา!J166"")"),0)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IFERROR(__xludf.DUMMYFUNCTION("IMPORTRANGE(""https://docs.google.com/spreadsheets/d/1XL5vhW3sbDhbH9Cz0tuDiY8C3ctxq1tqvaCgkFb8cCA/edit?usp=sharing"",""นครราชสีมา!J166"")"),0)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IFERROR(__xludf.DUMMYFUNCTION("IMPORTRANGE(""https://docs.google.com/spreadsheets/d/1XL5vhW3sbDhbH9Cz0tuDiY8C3ctxq1tqvaCgkFb8cCA/edit?usp=sharing"",""นครราชสีมา!J166"")"),0)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IFERROR(__xludf.DUMMYFUNCTION("IMPORTRANGE(""https://docs.google.com/spreadsheets/d/1XL5vhW3sbDhbH9Cz0tuDiY8C3ctxq1tqvaCgkFb8cCA/edit?usp=sharing"",""นครราชสีมา!J166"")"),0)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IFERROR(__xludf.DUMMYFUNCTION("IMPORTRANGE(""https://docs.google.com/spreadsheets/d/1XL5vhW3sbDhbH9Cz0tuDiY8C3ctxq1tqvaCgkFb8cCA/edit?usp=sharing"",""นครราชสีมา!I263"")"),100)</f>
        <v>100</v>
      </c>
      <c r="J368" s="189">
        <f ca="1">IFERROR(__xludf.DUMMYFUNCTION("IMPORTRANGE(""https://docs.google.com/spreadsheets/d/1XL5vhW3sbDhbH9Cz0tuDiY8C3ctxq1tqvaCgkFb8cCA/edit?usp=sharing"",""นครราชสีมา!J263"")"),100)</f>
        <v>100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IFERROR(__xludf.DUMMYFUNCTION("IMPORTRANGE(""https://docs.google.com/spreadsheets/d/1XL5vhW3sbDhbH9Cz0tuDiY8C3ctxq1tqvaCgkFb8cCA/edit?usp=sharing"",""นครราชสีมา!I164"")"),0)</f>
        <v>0</v>
      </c>
      <c r="J369" s="205">
        <f ca="1">IFERROR(__xludf.DUMMYFUNCTION("IMPORTRANGE(""https://docs.google.com/spreadsheets/d/1XL5vhW3sbDhbH9Cz0tuDiY8C3ctxq1tqvaCgkFb8cCA/edit?usp=sharing"",""นครราชสีมา!J164"")"),0)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IFERROR(__xludf.DUMMYFUNCTION("IMPORTRANGE(""https://docs.google.com/spreadsheets/d/1XL5vhW3sbDhbH9Cz0tuDiY8C3ctxq1tqvaCgkFb8cCA/edit?usp=sharing"",""นครราชสีมา!I265"")"),100)</f>
        <v>100</v>
      </c>
      <c r="J370" s="205">
        <f ca="1">IFERROR(__xludf.DUMMYFUNCTION("IMPORTRANGE(""https://docs.google.com/spreadsheets/d/1XL5vhW3sbDhbH9Cz0tuDiY8C3ctxq1tqvaCgkFb8cCA/edit?usp=sharing"",""นครราชสีมา!J265"")"),100)</f>
        <v>100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IFERROR(__xludf.DUMMYFUNCTION("IMPORTRANGE(""https://docs.google.com/spreadsheets/d/1XL5vhW3sbDhbH9Cz0tuDiY8C3ctxq1tqvaCgkFb8cCA/edit?usp=sharing"",""นครราชสีมา!I164"")"),0)</f>
        <v>0</v>
      </c>
      <c r="J371" s="190">
        <f ca="1">IFERROR(__xludf.DUMMYFUNCTION("IMPORTRANGE(""https://docs.google.com/spreadsheets/d/1XL5vhW3sbDhbH9Cz0tuDiY8C3ctxq1tqvaCgkFb8cCA/edit?usp=sharing"",""นครราชสีมา!J164"")"),0)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IFERROR(__xludf.DUMMYFUNCTION("IMPORTRANGE(""https://docs.google.com/spreadsheets/d/1XL5vhW3sbDhbH9Cz0tuDiY8C3ctxq1tqvaCgkFb8cCA/edit?usp=sharing"",""นครราชสีมา!I267"")"),100)</f>
        <v>100</v>
      </c>
      <c r="J372" s="190">
        <f ca="1">IFERROR(__xludf.DUMMYFUNCTION("IMPORTRANGE(""https://docs.google.com/spreadsheets/d/1XL5vhW3sbDhbH9Cz0tuDiY8C3ctxq1tqvaCgkFb8cCA/edit?usp=sharing"",""นครราชสีมา!J267"")"),100)</f>
        <v>100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IFERROR(__xludf.DUMMYFUNCTION("IMPORTRANGE(""https://docs.google.com/spreadsheets/d/1XL5vhW3sbDhbH9Cz0tuDiY8C3ctxq1tqvaCgkFb8cCA/edit?usp=sharing"",""นครราชสีมา!I164"")"),0)</f>
        <v>0</v>
      </c>
      <c r="J373" s="205">
        <f ca="1">IFERROR(__xludf.DUMMYFUNCTION("IMPORTRANGE(""https://docs.google.com/spreadsheets/d/1XL5vhW3sbDhbH9Cz0tuDiY8C3ctxq1tqvaCgkFb8cCA/edit?usp=sharing"",""นครราชสีมา!J164"")"),0)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IFERROR(__xludf.DUMMYFUNCTION("IMPORTRANGE(""https://docs.google.com/spreadsheets/d/1XL5vhW3sbDhbH9Cz0tuDiY8C3ctxq1tqvaCgkFb8cCA/edit?usp=sharing"",""นครราชสีมา!I164"")"),0)</f>
        <v>0</v>
      </c>
      <c r="J374" s="189">
        <f ca="1">IFERROR(__xludf.DUMMYFUNCTION("IMPORTRANGE(""https://docs.google.com/spreadsheets/d/1XL5vhW3sbDhbH9Cz0tuDiY8C3ctxq1tqvaCgkFb8cCA/edit?usp=sharing"",""นครราชสีมา!J164"")"),0)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IFERROR(__xludf.DUMMYFUNCTION("IMPORTRANGE(""https://docs.google.com/spreadsheets/d/1XL5vhW3sbDhbH9Cz0tuDiY8C3ctxq1tqvaCgkFb8cCA/edit?usp=sharing"",""นครราชสีมา!I270"")"),200)</f>
        <v>200</v>
      </c>
      <c r="J375" s="189">
        <f ca="1">IFERROR(__xludf.DUMMYFUNCTION("IMPORTRANGE(""https://docs.google.com/spreadsheets/d/1XL5vhW3sbDhbH9Cz0tuDiY8C3ctxq1tqvaCgkFb8cCA/edit?usp=sharing"",""นครราชสีมา!J270"")"),200)</f>
        <v>200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IFERROR(__xludf.DUMMYFUNCTION("IMPORTRANGE(""https://docs.google.com/spreadsheets/d/1XL5vhW3sbDhbH9Cz0tuDiY8C3ctxq1tqvaCgkFb8cCA/edit?usp=sharing"",""นครราชสีมา!I271"")"),140)</f>
        <v>140</v>
      </c>
      <c r="J376" s="190">
        <f ca="1">IFERROR(__xludf.DUMMYFUNCTION("IMPORTRANGE(""https://docs.google.com/spreadsheets/d/1XL5vhW3sbDhbH9Cz0tuDiY8C3ctxq1tqvaCgkFb8cCA/edit?usp=sharing"",""นครราชสีมา!J271"")"),140)</f>
        <v>140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IFERROR(__xludf.DUMMYFUNCTION("IMPORTRANGE(""https://docs.google.com/spreadsheets/d/1XL5vhW3sbDhbH9Cz0tuDiY8C3ctxq1tqvaCgkFb8cCA/edit?usp=sharing"",""นครราชสีมา!I272"")"),60)</f>
        <v>60</v>
      </c>
      <c r="J377" s="205">
        <f ca="1">IFERROR(__xludf.DUMMYFUNCTION("IMPORTRANGE(""https://docs.google.com/spreadsheets/d/1XL5vhW3sbDhbH9Cz0tuDiY8C3ctxq1tqvaCgkFb8cCA/edit?usp=sharing"",""นครราชสีมา!J272"")"),60)</f>
        <v>60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IFERROR(__xludf.DUMMYFUNCTION("IMPORTRANGE(""https://docs.google.com/spreadsheets/d/1XL5vhW3sbDhbH9Cz0tuDiY8C3ctxq1tqvaCgkFb8cCA/edit?usp=sharing"",""นครราชสีมา!J273"")"),0)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IFERROR(__xludf.DUMMYFUNCTION("IMPORTRANGE(""https://docs.google.com/spreadsheets/d/1XL5vhW3sbDhbH9Cz0tuDiY8C3ctxq1tqvaCgkFb8cCA/edit?usp=sharing"",""นครราชสีมา!M275"")"),89890)</f>
        <v>89890</v>
      </c>
      <c r="O380" s="373">
        <f ca="1">+IF(L380&gt;0,N380*100/L380,0)</f>
        <v>8.7397425426826896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IFERROR(__xludf.DUMMYFUNCTION("IMPORTRANGE(""https://docs.google.com/spreadsheets/d/1XL5vhW3sbDhbH9Cz0tuDiY8C3ctxq1tqvaCgkFb8cCA/edit?usp=sharing"",""นครราชสีมา!J276"")"),73)</f>
        <v>73</v>
      </c>
      <c r="K381" s="372">
        <f t="shared" ca="1" si="108"/>
        <v>73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IFERROR(__xludf.DUMMYFUNCTION("IMPORTRANGE(""https://docs.google.com/spreadsheets/d/1XL5vhW3sbDhbH9Cz0tuDiY8C3ctxq1tqvaCgkFb8cCA/edit?usp=sharing"",""นครราชสีมา!L277"")"),0)</f>
        <v>0</v>
      </c>
      <c r="M382" s="166"/>
      <c r="N382" s="166">
        <f ca="1">IFERROR(__xludf.DUMMYFUNCTION("IMPORTRANGE(""https://docs.google.com/spreadsheets/d/1XL5vhW3sbDhbH9Cz0tuDiY8C3ctxq1tqvaCgkFb8cCA/edit?usp=sharing"",""นครราชสีมา!M277"")"),0)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IFERROR(__xludf.DUMMYFUNCTION("IMPORTRANGE(""https://docs.google.com/spreadsheets/d/1XL5vhW3sbDhbH9Cz0tuDiY8C3ctxq1tqvaCgkFb8cCA/edit?usp=sharing"",""นครราชสีมา!M278"")"),89890)</f>
        <v>89890</v>
      </c>
      <c r="O383" s="167">
        <f t="shared" ca="1" si="109"/>
        <v>8.7397425426826896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IFERROR(__xludf.DUMMYFUNCTION("IMPORTRANGE(""https://docs.google.com/spreadsheets/d/1XL5vhW3sbDhbH9Cz0tuDiY8C3ctxq1tqvaCgkFb8cCA/edit?usp=sharing"",""นครราชสีมา!L279"")"),0)</f>
        <v>0</v>
      </c>
      <c r="M384" s="170"/>
      <c r="N384" s="170">
        <f ca="1">IFERROR(__xludf.DUMMYFUNCTION("IMPORTRANGE(""https://docs.google.com/spreadsheets/d/1XL5vhW3sbDhbH9Cz0tuDiY8C3ctxq1tqvaCgkFb8cCA/edit?usp=sharing"",""นครราชสีมา!M279"")"),0)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IFERROR(__xludf.DUMMYFUNCTION("IMPORTRANGE(""https://docs.google.com/spreadsheets/d/1XL5vhW3sbDhbH9Cz0tuDiY8C3ctxq1tqvaCgkFb8cCA/edit?usp=sharing"",""นครราชสีมา!M280"")"),89890)</f>
        <v>89890</v>
      </c>
      <c r="O385" s="170">
        <f t="shared" ca="1" si="109"/>
        <v>8.7397425426826896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IFERROR(__xludf.DUMMYFUNCTION("IMPORTRANGE(""https://docs.google.com/spreadsheets/d/1XL5vhW3sbDhbH9Cz0tuDiY8C3ctxq1tqvaCgkFb8cCA/edit?usp=sharing"",""นครราชสีมา!M281"")"),34250)</f>
        <v>34250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IFERROR(__xludf.DUMMYFUNCTION("IMPORTRANGE(""https://docs.google.com/spreadsheets/d/1XL5vhW3sbDhbH9Cz0tuDiY8C3ctxq1tqvaCgkFb8cCA/edit?usp=sharing"",""นครราชสีมา!M283"")"),46400)</f>
        <v>46400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IFERROR(__xludf.DUMMYFUNCTION("IMPORTRANGE(""https://docs.google.com/spreadsheets/d/1XL5vhW3sbDhbH9Cz0tuDiY8C3ctxq1tqvaCgkFb8cCA/edit?usp=sharing"",""นครราชสีมา!M284"")"),9240)</f>
        <v>9240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IFERROR(__xludf.DUMMYFUNCTION("IMPORTRANGE(""https://docs.google.com/spreadsheets/d/1XL5vhW3sbDhbH9Cz0tuDiY8C3ctxq1tqvaCgkFb8cCA/edit?usp=sharing"",""นครราชสีมา!J286"")"),0)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IFERROR(__xludf.DUMMYFUNCTION("IMPORTRANGE(""https://docs.google.com/spreadsheets/d/1XL5vhW3sbDhbH9Cz0tuDiY8C3ctxq1tqvaCgkFb8cCA/edit?usp=sharing"",""นครราชสีมา!J287"")"),1)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IFERROR(__xludf.DUMMYFUNCTION("IMPORTRANGE(""https://docs.google.com/spreadsheets/d/1XL5vhW3sbDhbH9Cz0tuDiY8C3ctxq1tqvaCgkFb8cCA/edit?usp=sharing"",""นครราชสีมา!J288"")"),1)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IFERROR(__xludf.DUMMYFUNCTION("IMPORTRANGE(""https://docs.google.com/spreadsheets/d/1XL5vhW3sbDhbH9Cz0tuDiY8C3ctxq1tqvaCgkFb8cCA/edit?usp=sharing"",""นครราชสีมา!J289"")"),1)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IFERROR(__xludf.DUMMYFUNCTION("IMPORTRANGE(""https://docs.google.com/spreadsheets/d/1XL5vhW3sbDhbH9Cz0tuDiY8C3ctxq1tqvaCgkFb8cCA/edit?usp=sharing"",""นครราชสีมา!I291"")"),100)</f>
        <v>100</v>
      </c>
      <c r="J396" s="199">
        <f ca="1">IFERROR(__xludf.DUMMYFUNCTION("IMPORTRANGE(""https://docs.google.com/spreadsheets/d/1XL5vhW3sbDhbH9Cz0tuDiY8C3ctxq1tqvaCgkFb8cCA/edit?usp=sharing"",""นครราชสีมา!J291"")"),73)</f>
        <v>73</v>
      </c>
      <c r="K396" s="165">
        <f t="shared" ref="K396:K398" ca="1" si="110">IF(I396&gt;0,J396*100/I396,0)</f>
        <v>73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IFERROR(__xludf.DUMMYFUNCTION("IMPORTRANGE(""https://docs.google.com/spreadsheets/d/1XL5vhW3sbDhbH9Cz0tuDiY8C3ctxq1tqvaCgkFb8cCA/edit?usp=sharing"",""นครราชสีมา!I292"")"),1000)</f>
        <v>1000</v>
      </c>
      <c r="J397" s="199">
        <f ca="1">IFERROR(__xludf.DUMMYFUNCTION("IMPORTRANGE(""https://docs.google.com/spreadsheets/d/1XL5vhW3sbDhbH9Cz0tuDiY8C3ctxq1tqvaCgkFb8cCA/edit?usp=sharing"",""นครราชสีมา!J292"")"),0)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IFERROR(__xludf.DUMMYFUNCTION("IMPORTRANGE(""https://docs.google.com/spreadsheets/d/1XL5vhW3sbDhbH9Cz0tuDiY8C3ctxq1tqvaCgkFb8cCA/edit?usp=sharing"",""นครราชสีมา!I293"")"),100)</f>
        <v>100</v>
      </c>
      <c r="J398" s="199">
        <f ca="1">IFERROR(__xludf.DUMMYFUNCTION("IMPORTRANGE(""https://docs.google.com/spreadsheets/d/1XL5vhW3sbDhbH9Cz0tuDiY8C3ctxq1tqvaCgkFb8cCA/edit?usp=sharing"",""นครราชสีมา!J293"")"),0)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IFERROR(__xludf.DUMMYFUNCTION("IMPORTRANGE(""https://docs.google.com/spreadsheets/d/1XL5vhW3sbDhbH9Cz0tuDiY8C3ctxq1tqvaCgkFb8cCA/edit?usp=sharing"",""นครราชสีมา!J294"")"),0)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IFERROR(__xludf.DUMMYFUNCTION("IMPORTRANGE(""https://docs.google.com/spreadsheets/d/1XL5vhW3sbDhbH9Cz0tuDiY8C3ctxq1tqvaCgkFb8cCA/edit?usp=sharing"",""นครราชสีมา!M296"")"),149425)</f>
        <v>149425</v>
      </c>
      <c r="O401" s="373">
        <f ca="1">+IF(L401&gt;0,N401*100/L401,0)</f>
        <v>48.105402099027749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IFERROR(__xludf.DUMMYFUNCTION("IMPORTRANGE(""https://docs.google.com/spreadsheets/d/1XL5vhW3sbDhbH9Cz0tuDiY8C3ctxq1tqvaCgkFb8cCA/edit?usp=sharing"",""นครราชสีมา!L298"")"),0)</f>
        <v>0</v>
      </c>
      <c r="M403" s="166"/>
      <c r="N403" s="170">
        <f ca="1">IFERROR(__xludf.DUMMYFUNCTION("IMPORTRANGE(""https://docs.google.com/spreadsheets/d/1XL5vhW3sbDhbH9Cz0tuDiY8C3ctxq1tqvaCgkFb8cCA/edit?usp=sharing"",""นครราชสีมา!M298"")"),0)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7"/>
      <c r="N404" s="170">
        <f ca="1">IFERROR(__xludf.DUMMYFUNCTION("IMPORTRANGE(""https://docs.google.com/spreadsheets/d/1XL5vhW3sbDhbH9Cz0tuDiY8C3ctxq1tqvaCgkFb8cCA/edit?usp=sharing"",""นครราชสีมา!M299"")"),149425)</f>
        <v>149425</v>
      </c>
      <c r="O404" s="170">
        <f t="shared" ca="1" si="112"/>
        <v>48.105402099027749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IFERROR(__xludf.DUMMYFUNCTION("IMPORTRANGE(""https://docs.google.com/spreadsheets/d/1XL5vhW3sbDhbH9Cz0tuDiY8C3ctxq1tqvaCgkFb8cCA/edit?usp=sharing"",""นครราชสีมา!L300"")"),0)</f>
        <v>0</v>
      </c>
      <c r="M405" s="170"/>
      <c r="N405" s="170">
        <f ca="1">IFERROR(__xludf.DUMMYFUNCTION("IMPORTRANGE(""https://docs.google.com/spreadsheets/d/1XL5vhW3sbDhbH9Cz0tuDiY8C3ctxq1tqvaCgkFb8cCA/edit?usp=sharing"",""นครราชสีมา!M300"")"),0)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IFERROR(__xludf.DUMMYFUNCTION("IMPORTRANGE(""https://docs.google.com/spreadsheets/d/1XL5vhW3sbDhbH9Cz0tuDiY8C3ctxq1tqvaCgkFb8cCA/edit?usp=sharing"",""นครราชสีมา!L301"")"),310620)</f>
        <v>310620</v>
      </c>
      <c r="M406" s="170"/>
      <c r="N406" s="170">
        <f ca="1">IFERROR(__xludf.DUMMYFUNCTION("IMPORTRANGE(""https://docs.google.com/spreadsheets/d/1XL5vhW3sbDhbH9Cz0tuDiY8C3ctxq1tqvaCgkFb8cCA/edit?usp=sharing"",""นครราชสีมา!M301"")"),149425)</f>
        <v>149425</v>
      </c>
      <c r="O406" s="170">
        <f t="shared" ca="1" si="112"/>
        <v>48.105402099027749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IFERROR(__xludf.DUMMYFUNCTION("IMPORTRANGE(""https://docs.google.com/spreadsheets/d/1XL5vhW3sbDhbH9Cz0tuDiY8C3ctxq1tqvaCgkFb8cCA/edit?usp=sharing"",""นครราชสีมา!M302"")"),53180)</f>
        <v>53180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IFERROR(__xludf.DUMMYFUNCTION("IMPORTRANGE(""https://docs.google.com/spreadsheets/d/1XL5vhW3sbDhbH9Cz0tuDiY8C3ctxq1tqvaCgkFb8cCA/edit?usp=sharing"",""นครราชสีมา!M303"")"),92805)</f>
        <v>92805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IFERROR(__xludf.DUMMYFUNCTION("IMPORTRANGE(""https://docs.google.com/spreadsheets/d/1XL5vhW3sbDhbH9Cz0tuDiY8C3ctxq1tqvaCgkFb8cCA/edit?usp=sharing"",""นครราชสีมา!M305"")"),3440)</f>
        <v>3440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IFERROR(__xludf.DUMMYFUNCTION("IMPORTRANGE(""https://docs.google.com/spreadsheets/d/1XL5vhW3sbDhbH9Cz0tuDiY8C3ctxq1tqvaCgkFb8cCA/edit?usp=sharing"",""นครราชสีมา!J307"")"),0)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IFERROR(__xludf.DUMMYFUNCTION("IMPORTRANGE(""https://docs.google.com/spreadsheets/d/1XL5vhW3sbDhbH9Cz0tuDiY8C3ctxq1tqvaCgkFb8cCA/edit?usp=sharing"",""นครราชสีมา!J308"")"),1)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IFERROR(__xludf.DUMMYFUNCTION("IMPORTRANGE(""https://docs.google.com/spreadsheets/d/1XL5vhW3sbDhbH9Cz0tuDiY8C3ctxq1tqvaCgkFb8cCA/edit?usp=sharing"",""นครราชสีมา!J309"")"),1)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IFERROR(__xludf.DUMMYFUNCTION("IMPORTRANGE(""https://docs.google.com/spreadsheets/d/1XL5vhW3sbDhbH9Cz0tuDiY8C3ctxq1tqvaCgkFb8cCA/edit?usp=sharing"",""นครราชสีมา!J310"")"),1)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IFERROR(__xludf.DUMMYFUNCTION("IMPORTRANGE(""https://docs.google.com/spreadsheets/d/1XL5vhW3sbDhbH9Cz0tuDiY8C3ctxq1tqvaCgkFb8cCA/edit?usp=sharing"",""นครราชสีมา!I311"")"),94)</f>
        <v>94</v>
      </c>
      <c r="J416" s="202">
        <f ca="1">IFERROR(__xludf.DUMMYFUNCTION("IMPORTRANGE(""https://docs.google.com/spreadsheets/d/1XL5vhW3sbDhbH9Cz0tuDiY8C3ctxq1tqvaCgkFb8cCA/edit?usp=sharing"",""นครราชสีมา!J311"")"),94)</f>
        <v>94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IFERROR(__xludf.DUMMYFUNCTION("IMPORTRANGE(""https://docs.google.com/spreadsheets/d/1XL5vhW3sbDhbH9Cz0tuDiY8C3ctxq1tqvaCgkFb8cCA/edit?usp=sharing"",""นครราชสีมา!J328"")"),0)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IFERROR(__xludf.DUMMYFUNCTION("IMPORTRANGE(""https://docs.google.com/spreadsheets/d/1XL5vhW3sbDhbH9Cz0tuDiY8C3ctxq1tqvaCgkFb8cCA/edit?usp=sharing"",""นครราชสีมา!L330"")"),162000)</f>
        <v>162000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IFERROR(__xludf.DUMMYFUNCTION("IMPORTRANGE(""https://docs.google.com/spreadsheets/d/1XL5vhW3sbDhbH9Cz0tuDiY8C3ctxq1tqvaCgkFb8cCA/edit?usp=sharing"",""นครราชสีมา!M330"")"),84600)</f>
        <v>84600</v>
      </c>
      <c r="O435" s="412">
        <f t="shared" ref="O435:O439" ca="1" si="114">+IF(L435&gt;0,N435*100/L435,0)</f>
        <v>52.222222222222221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IFERROR(__xludf.DUMMYFUNCTION("IMPORTRANGE(""https://docs.google.com/spreadsheets/d/1XL5vhW3sbDhbH9Cz0tuDiY8C3ctxq1tqvaCgkFb8cCA/edit?usp=sharing"",""นครราชสีมา!L331"")"),0)</f>
        <v>0</v>
      </c>
      <c r="M436" s="166"/>
      <c r="N436" s="170">
        <f ca="1">IFERROR(__xludf.DUMMYFUNCTION("IMPORTRANGE(""https://docs.google.com/spreadsheets/d/1XL5vhW3sbDhbH9Cz0tuDiY8C3ctxq1tqvaCgkFb8cCA/edit?usp=sharing"",""นครราชสีมา!M331"")"),0)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IFERROR(__xludf.DUMMYFUNCTION("IMPORTRANGE(""https://docs.google.com/spreadsheets/d/1XL5vhW3sbDhbH9Cz0tuDiY8C3ctxq1tqvaCgkFb8cCA/edit?usp=sharing"",""นครราชสีมา!L332"")"),162000)</f>
        <v>162000</v>
      </c>
      <c r="M437" s="167"/>
      <c r="N437" s="170">
        <f ca="1">IFERROR(__xludf.DUMMYFUNCTION("IMPORTRANGE(""https://docs.google.com/spreadsheets/d/1XL5vhW3sbDhbH9Cz0tuDiY8C3ctxq1tqvaCgkFb8cCA/edit?usp=sharing"",""นครราชสีมา!M332"")"),84600)</f>
        <v>84600</v>
      </c>
      <c r="O437" s="170">
        <f t="shared" ca="1" si="114"/>
        <v>52.222222222222221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IFERROR(__xludf.DUMMYFUNCTION("IMPORTRANGE(""https://docs.google.com/spreadsheets/d/1XL5vhW3sbDhbH9Cz0tuDiY8C3ctxq1tqvaCgkFb8cCA/edit?usp=sharing"",""นครราชสีมา!L333"")"),0)</f>
        <v>0</v>
      </c>
      <c r="M438" s="170"/>
      <c r="N438" s="170">
        <f ca="1">IFERROR(__xludf.DUMMYFUNCTION("IMPORTRANGE(""https://docs.google.com/spreadsheets/d/1XL5vhW3sbDhbH9Cz0tuDiY8C3ctxq1tqvaCgkFb8cCA/edit?usp=sharing"",""นครราชสีมา!M333"")"),0)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IFERROR(__xludf.DUMMYFUNCTION("IMPORTRANGE(""https://docs.google.com/spreadsheets/d/1XL5vhW3sbDhbH9Cz0tuDiY8C3ctxq1tqvaCgkFb8cCA/edit?usp=sharing"",""นครราชสีมา!L334"")"),162000)</f>
        <v>162000</v>
      </c>
      <c r="M439" s="170"/>
      <c r="N439" s="170">
        <f ca="1">IFERROR(__xludf.DUMMYFUNCTION("IMPORTRANGE(""https://docs.google.com/spreadsheets/d/1XL5vhW3sbDhbH9Cz0tuDiY8C3ctxq1tqvaCgkFb8cCA/edit?usp=sharing"",""นครราชสีมา!M334"")"),84600)</f>
        <v>84600</v>
      </c>
      <c r="O439" s="170">
        <f t="shared" ca="1" si="114"/>
        <v>52.222222222222221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IFERROR(__xludf.DUMMYFUNCTION("IMPORTRANGE(""https://docs.google.com/spreadsheets/d/1XL5vhW3sbDhbH9Cz0tuDiY8C3ctxq1tqvaCgkFb8cCA/edit?usp=sharing"",""นครราชสีมา!M338"")"),84600)</f>
        <v>84600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IFERROR(__xludf.DUMMYFUNCTION("IMPORTRANGE(""https://docs.google.com/spreadsheets/d/1XL5vhW3sbDhbH9Cz0tuDiY8C3ctxq1tqvaCgkFb8cCA/edit?usp=sharing"",""นครราชสีมา!J342"")"),0)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IFERROR(__xludf.DUMMYFUNCTION("IMPORTRANGE(""https://docs.google.com/spreadsheets/d/1XL5vhW3sbDhbH9Cz0tuDiY8C3ctxq1tqvaCgkFb8cCA/edit?usp=sharing"",""นครราชสีมา!J343"")"),0)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2">
        <f ca="1">IFERROR(__xludf.DUMMYFUNCTION("IMPORTRANGE(""https://docs.google.com/spreadsheets/d/1XL5vhW3sbDhbH9Cz0tuDiY8C3ctxq1tqvaCgkFb8cCA/edit?usp=sharing"",""นครราชสีมา!J344"")"),40)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IFERROR(__xludf.DUMMYFUNCTION("IMPORTRANGE(""https://docs.google.com/spreadsheets/d/1XL5vhW3sbDhbH9Cz0tuDiY8C3ctxq1tqvaCgkFb8cCA/edit?usp=sharing"",""นครราชสีมา!I345"")"),40)</f>
        <v>40</v>
      </c>
      <c r="J450" s="190">
        <f ca="1">IFERROR(__xludf.DUMMYFUNCTION("IMPORTRANGE(""https://docs.google.com/spreadsheets/d/1XL5vhW3sbDhbH9Cz0tuDiY8C3ctxq1tqvaCgkFb8cCA/edit?usp=sharing"",""นครราชสีมา!J345"")"),40)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IFERROR(__xludf.DUMMYFUNCTION("IMPORTRANGE(""https://docs.google.com/spreadsheets/d/1XL5vhW3sbDhbH9Cz0tuDiY8C3ctxq1tqvaCgkFb8cCA/edit?usp=sharing"",""นครราชสีมา!I346"")"),0)</f>
        <v>0</v>
      </c>
      <c r="J451" s="189">
        <f ca="1">IFERROR(__xludf.DUMMYFUNCTION("IMPORTRANGE(""https://docs.google.com/spreadsheets/d/1XL5vhW3sbDhbH9Cz0tuDiY8C3ctxq1tqvaCgkFb8cCA/edit?usp=sharing"",""นครราชสีมา!J346"")"),0)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IFERROR(__xludf.DUMMYFUNCTION("IMPORTRANGE(""https://docs.google.com/spreadsheets/d/1XL5vhW3sbDhbH9Cz0tuDiY8C3ctxq1tqvaCgkFb8cCA/edit?usp=sharing"",""นครราชสีมา!I347"")"),0)</f>
        <v>0</v>
      </c>
      <c r="J452" s="189">
        <f ca="1">IFERROR(__xludf.DUMMYFUNCTION("IMPORTRANGE(""https://docs.google.com/spreadsheets/d/1XL5vhW3sbDhbH9Cz0tuDiY8C3ctxq1tqvaCgkFb8cCA/edit?usp=sharing"",""นครราชสีมา!J347"")"),0)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IFERROR(__xludf.DUMMYFUNCTION("IMPORTRANGE(""https://docs.google.com/spreadsheets/d/1XL5vhW3sbDhbH9Cz0tuDiY8C3ctxq1tqvaCgkFb8cCA/edit?usp=sharing"",""นครราชสีมา!J348"")"),0)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IFERROR(__xludf.DUMMYFUNCTION("IMPORTRANGE(""https://docs.google.com/spreadsheets/d/1XL5vhW3sbDhbH9Cz0tuDiY8C3ctxq1tqvaCgkFb8cCA/edit?usp=sharing"",""นครราชสีมา!L350"")"),607341)</f>
        <v>607341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IFERROR(__xludf.DUMMYFUNCTION("IMPORTRANGE(""https://docs.google.com/spreadsheets/d/1XL5vhW3sbDhbH9Cz0tuDiY8C3ctxq1tqvaCgkFb8cCA/edit?usp=sharing"",""นครราชสีมา!M350"")"),104903.42)</f>
        <v>104903.42</v>
      </c>
      <c r="O455" s="373">
        <f t="shared" ref="O455:O459" ca="1" si="116">+IF(L455&gt;0,N455*100/L455,0)</f>
        <v>17.272573397811115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IFERROR(__xludf.DUMMYFUNCTION("IMPORTRANGE(""https://docs.google.com/spreadsheets/d/1XL5vhW3sbDhbH9Cz0tuDiY8C3ctxq1tqvaCgkFb8cCA/edit?usp=sharing"",""นครราชสีมา!L351"")"),0)</f>
        <v>0</v>
      </c>
      <c r="M456" s="166"/>
      <c r="N456" s="170">
        <f ca="1">IFERROR(__xludf.DUMMYFUNCTION("IMPORTRANGE(""https://docs.google.com/spreadsheets/d/1XL5vhW3sbDhbH9Cz0tuDiY8C3ctxq1tqvaCgkFb8cCA/edit?usp=sharing"",""นครราชสีมา!M351"")"),0)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IFERROR(__xludf.DUMMYFUNCTION("IMPORTRANGE(""https://docs.google.com/spreadsheets/d/1XL5vhW3sbDhbH9Cz0tuDiY8C3ctxq1tqvaCgkFb8cCA/edit?usp=sharing"",""นครราชสีมา!L352"")"),607341)</f>
        <v>607341</v>
      </c>
      <c r="M457" s="167"/>
      <c r="N457" s="170">
        <f ca="1">IFERROR(__xludf.DUMMYFUNCTION("IMPORTRANGE(""https://docs.google.com/spreadsheets/d/1XL5vhW3sbDhbH9Cz0tuDiY8C3ctxq1tqvaCgkFb8cCA/edit?usp=sharing"",""นครราชสีมา!M352"")"),104903.42)</f>
        <v>104903.42</v>
      </c>
      <c r="O457" s="170">
        <f t="shared" ca="1" si="116"/>
        <v>17.272573397811115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IFERROR(__xludf.DUMMYFUNCTION("IMPORTRANGE(""https://docs.google.com/spreadsheets/d/1XL5vhW3sbDhbH9Cz0tuDiY8C3ctxq1tqvaCgkFb8cCA/edit?usp=sharing"",""นครราชสีมา!L353"")"),0)</f>
        <v>0</v>
      </c>
      <c r="M458" s="170"/>
      <c r="N458" s="170">
        <f ca="1">IFERROR(__xludf.DUMMYFUNCTION("IMPORTRANGE(""https://docs.google.com/spreadsheets/d/1XL5vhW3sbDhbH9Cz0tuDiY8C3ctxq1tqvaCgkFb8cCA/edit?usp=sharing"",""นครราชสีมา!M353"")"),0)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IFERROR(__xludf.DUMMYFUNCTION("IMPORTRANGE(""https://docs.google.com/spreadsheets/d/1XL5vhW3sbDhbH9Cz0tuDiY8C3ctxq1tqvaCgkFb8cCA/edit?usp=sharing"",""นครราชสีมา!L354"")"),607341)</f>
        <v>607341</v>
      </c>
      <c r="M459" s="170"/>
      <c r="N459" s="170">
        <f ca="1">IFERROR(__xludf.DUMMYFUNCTION("IMPORTRANGE(""https://docs.google.com/spreadsheets/d/1XL5vhW3sbDhbH9Cz0tuDiY8C3ctxq1tqvaCgkFb8cCA/edit?usp=sharing"",""นครราชสีมา!M354"")"),104903.42)</f>
        <v>104903.42</v>
      </c>
      <c r="O459" s="170">
        <f t="shared" ca="1" si="116"/>
        <v>17.272573397811115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IFERROR(__xludf.DUMMYFUNCTION("IMPORTRANGE(""https://docs.google.com/spreadsheets/d/1XL5vhW3sbDhbH9Cz0tuDiY8C3ctxq1tqvaCgkFb8cCA/edit?usp=sharing"",""นครราชสีมา!M355"")"),0)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IFERROR(__xludf.DUMMYFUNCTION("IMPORTRANGE(""https://docs.google.com/spreadsheets/d/1XL5vhW3sbDhbH9Cz0tuDiY8C3ctxq1tqvaCgkFb8cCA/edit?usp=sharing"",""นครราชสีมา!M356"")"),0)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IFERROR(__xludf.DUMMYFUNCTION("IMPORTRANGE(""https://docs.google.com/spreadsheets/d/1XL5vhW3sbDhbH9Cz0tuDiY8C3ctxq1tqvaCgkFb8cCA/edit?usp=sharing"",""นครราชสีมา!M357"")"),42533.42)</f>
        <v>42533.42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IFERROR(__xludf.DUMMYFUNCTION("IMPORTRANGE(""https://docs.google.com/spreadsheets/d/1XL5vhW3sbDhbH9Cz0tuDiY8C3ctxq1tqvaCgkFb8cCA/edit?usp=sharing"",""นครราชสีมา!M358"")"),62370)</f>
        <v>62370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IFERROR(__xludf.DUMMYFUNCTION("IMPORTRANGE(""https://docs.google.com/spreadsheets/d/1XL5vhW3sbDhbH9Cz0tuDiY8C3ctxq1tqvaCgkFb8cCA/edit?usp=sharing"",""นครราชสีมา!I362"")"),0)</f>
        <v>0</v>
      </c>
      <c r="J467" s="190">
        <f ca="1">IFERROR(__xludf.DUMMYFUNCTION("IMPORTRANGE(""https://docs.google.com/spreadsheets/d/1XL5vhW3sbDhbH9Cz0tuDiY8C3ctxq1tqvaCgkFb8cCA/edit?usp=sharing"",""นครราชสีมา!J362"")"),36732)</f>
        <v>36732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IFERROR(__xludf.DUMMYFUNCTION("IMPORTRANGE(""https://docs.google.com/spreadsheets/d/1XL5vhW3sbDhbH9Cz0tuDiY8C3ctxq1tqvaCgkFb8cCA/edit?usp=sharing"",""นครราชสีมา!I363"")"),0)</f>
        <v>0</v>
      </c>
      <c r="J468" s="190">
        <f ca="1">IFERROR(__xludf.DUMMYFUNCTION("IMPORTRANGE(""https://docs.google.com/spreadsheets/d/1XL5vhW3sbDhbH9Cz0tuDiY8C3ctxq1tqvaCgkFb8cCA/edit?usp=sharing"",""นครราชสีมา!J363"")"),4944)</f>
        <v>4944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IFERROR(__xludf.DUMMYFUNCTION("IMPORTRANGE(""https://docs.google.com/spreadsheets/d/1XL5vhW3sbDhbH9Cz0tuDiY8C3ctxq1tqvaCgkFb8cCA/edit?usp=sharing"",""นครราชสีมา!I364"")"),0)</f>
        <v>0</v>
      </c>
      <c r="J469" s="190">
        <f ca="1">IFERROR(__xludf.DUMMYFUNCTION("IMPORTRANGE(""https://docs.google.com/spreadsheets/d/1XL5vhW3sbDhbH9Cz0tuDiY8C3ctxq1tqvaCgkFb8cCA/edit?usp=sharing"",""นครราชสีมา!J364"")"),20496)</f>
        <v>20496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IFERROR(__xludf.DUMMYFUNCTION("IMPORTRANGE(""https://docs.google.com/spreadsheets/d/1XL5vhW3sbDhbH9Cz0tuDiY8C3ctxq1tqvaCgkFb8cCA/edit?usp=sharing"",""นครราชสีมา!I365"")"),0)</f>
        <v>0</v>
      </c>
      <c r="J470" s="190">
        <f ca="1">IFERROR(__xludf.DUMMYFUNCTION("IMPORTRANGE(""https://docs.google.com/spreadsheets/d/1XL5vhW3sbDhbH9Cz0tuDiY8C3ctxq1tqvaCgkFb8cCA/edit?usp=sharing"",""นครราชสีมา!J365"")"),1626)</f>
        <v>1626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IFERROR(__xludf.DUMMYFUNCTION("IMPORTRANGE(""https://docs.google.com/spreadsheets/d/1XL5vhW3sbDhbH9Cz0tuDiY8C3ctxq1tqvaCgkFb8cCA/edit?usp=sharing"",""นครราชสีมา!I366"")"),0)</f>
        <v>0</v>
      </c>
      <c r="J471" s="190">
        <f ca="1">IFERROR(__xludf.DUMMYFUNCTION("IMPORTRANGE(""https://docs.google.com/spreadsheets/d/1XL5vhW3sbDhbH9Cz0tuDiY8C3ctxq1tqvaCgkFb8cCA/edit?usp=sharing"",""นครราชสีมา!J366"")"),1776)</f>
        <v>1776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IFERROR(__xludf.DUMMYFUNCTION("IMPORTRANGE(""https://docs.google.com/spreadsheets/d/1XL5vhW3sbDhbH9Cz0tuDiY8C3ctxq1tqvaCgkFb8cCA/edit?usp=sharing"",""นครราชสีมา!I367"")"),0)</f>
        <v>0</v>
      </c>
      <c r="J472" s="190">
        <f ca="1">IFERROR(__xludf.DUMMYFUNCTION("IMPORTRANGE(""https://docs.google.com/spreadsheets/d/1XL5vhW3sbDhbH9Cz0tuDiY8C3ctxq1tqvaCgkFb8cCA/edit?usp=sharing"",""นครราชสีมา!J367"")"),149)</f>
        <v>149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IFERROR(__xludf.DUMMYFUNCTION("IMPORTRANGE(""https://docs.google.com/spreadsheets/d/1XL5vhW3sbDhbH9Cz0tuDiY8C3ctxq1tqvaCgkFb8cCA/edit?usp=sharing"",""นครราชสีมา!I370"")"),0)</f>
        <v>0</v>
      </c>
      <c r="J475" s="190">
        <f ca="1">IFERROR(__xludf.DUMMYFUNCTION("IMPORTRANGE(""https://docs.google.com/spreadsheets/d/1XL5vhW3sbDhbH9Cz0tuDiY8C3ctxq1tqvaCgkFb8cCA/edit?usp=sharing"",""นครราชสีมา!J370"")"),0)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IFERROR(__xludf.DUMMYFUNCTION("IMPORTRANGE(""https://docs.google.com/spreadsheets/d/1XL5vhW3sbDhbH9Cz0tuDiY8C3ctxq1tqvaCgkFb8cCA/edit?usp=sharing"",""นครราชสีมา!I371"")"),0)</f>
        <v>0</v>
      </c>
      <c r="J476" s="190">
        <f ca="1">IFERROR(__xludf.DUMMYFUNCTION("IMPORTRANGE(""https://docs.google.com/spreadsheets/d/1XL5vhW3sbDhbH9Cz0tuDiY8C3ctxq1tqvaCgkFb8cCA/edit?usp=sharing"",""นครราชสีมา!J371"")"),0)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IFERROR(__xludf.DUMMYFUNCTION("IMPORTRANGE(""https://docs.google.com/spreadsheets/d/1XL5vhW3sbDhbH9Cz0tuDiY8C3ctxq1tqvaCgkFb8cCA/edit?usp=sharing"",""นครราชสีมา!I372"")"),0)</f>
        <v>0</v>
      </c>
      <c r="J477" s="190">
        <f ca="1">IFERROR(__xludf.DUMMYFUNCTION("IMPORTRANGE(""https://docs.google.com/spreadsheets/d/1XL5vhW3sbDhbH9Cz0tuDiY8C3ctxq1tqvaCgkFb8cCA/edit?usp=sharing"",""นครราชสีมา!J372"")"),0)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IFERROR(__xludf.DUMMYFUNCTION("IMPORTRANGE(""https://docs.google.com/spreadsheets/d/1XL5vhW3sbDhbH9Cz0tuDiY8C3ctxq1tqvaCgkFb8cCA/edit?usp=sharing"",""นครราชสีมา!I373"")"),0)</f>
        <v>0</v>
      </c>
      <c r="J478" s="190">
        <f ca="1">IFERROR(__xludf.DUMMYFUNCTION("IMPORTRANGE(""https://docs.google.com/spreadsheets/d/1XL5vhW3sbDhbH9Cz0tuDiY8C3ctxq1tqvaCgkFb8cCA/edit?usp=sharing"",""นครราชสีมา!J373"")"),0)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IFERROR(__xludf.DUMMYFUNCTION("IMPORTRANGE(""https://docs.google.com/spreadsheets/d/1XL5vhW3sbDhbH9Cz0tuDiY8C3ctxq1tqvaCgkFb8cCA/edit?usp=sharing"",""นครราชสีมา!I374"")"),0)</f>
        <v>0</v>
      </c>
      <c r="J479" s="190">
        <f ca="1">IFERROR(__xludf.DUMMYFUNCTION("IMPORTRANGE(""https://docs.google.com/spreadsheets/d/1XL5vhW3sbDhbH9Cz0tuDiY8C3ctxq1tqvaCgkFb8cCA/edit?usp=sharing"",""นครราชสีมา!J374"")"),0)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IFERROR(__xludf.DUMMYFUNCTION("IMPORTRANGE(""https://docs.google.com/spreadsheets/d/1XL5vhW3sbDhbH9Cz0tuDiY8C3ctxq1tqvaCgkFb8cCA/edit?usp=sharing"",""นครราชสีมา!I375"")"),0)</f>
        <v>0</v>
      </c>
      <c r="J480" s="190">
        <f ca="1">IFERROR(__xludf.DUMMYFUNCTION("IMPORTRANGE(""https://docs.google.com/spreadsheets/d/1XL5vhW3sbDhbH9Cz0tuDiY8C3ctxq1tqvaCgkFb8cCA/edit?usp=sharing"",""นครราชสีมา!J375"")"),0)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IFERROR(__xludf.DUMMYFUNCTION("IMPORTRANGE(""https://docs.google.com/spreadsheets/d/1XL5vhW3sbDhbH9Cz0tuDiY8C3ctxq1tqvaCgkFb8cCA/edit?usp=sharing"",""นครราชสีมา!I378"")"),0)</f>
        <v>0</v>
      </c>
      <c r="J483" s="190">
        <f ca="1">IFERROR(__xludf.DUMMYFUNCTION("IMPORTRANGE(""https://docs.google.com/spreadsheets/d/1XL5vhW3sbDhbH9Cz0tuDiY8C3ctxq1tqvaCgkFb8cCA/edit?usp=sharing"",""นครราชสีมา!J378"")"),0)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IFERROR(__xludf.DUMMYFUNCTION("IMPORTRANGE(""https://docs.google.com/spreadsheets/d/1XL5vhW3sbDhbH9Cz0tuDiY8C3ctxq1tqvaCgkFb8cCA/edit?usp=sharing"",""นครราชสีมา!I379"")"),0)</f>
        <v>0</v>
      </c>
      <c r="J484" s="190">
        <f ca="1">IFERROR(__xludf.DUMMYFUNCTION("IMPORTRANGE(""https://docs.google.com/spreadsheets/d/1XL5vhW3sbDhbH9Cz0tuDiY8C3ctxq1tqvaCgkFb8cCA/edit?usp=sharing"",""นครราชสีมา!J379"")"),0)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IFERROR(__xludf.DUMMYFUNCTION("IMPORTRANGE(""https://docs.google.com/spreadsheets/d/1XL5vhW3sbDhbH9Cz0tuDiY8C3ctxq1tqvaCgkFb8cCA/edit?usp=sharing"",""นครราชสีมา!I380"")"),0)</f>
        <v>0</v>
      </c>
      <c r="J485" s="190">
        <f ca="1">IFERROR(__xludf.DUMMYFUNCTION("IMPORTRANGE(""https://docs.google.com/spreadsheets/d/1XL5vhW3sbDhbH9Cz0tuDiY8C3ctxq1tqvaCgkFb8cCA/edit?usp=sharing"",""นครราชสีมา!J380"")"),0)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IFERROR(__xludf.DUMMYFUNCTION("IMPORTRANGE(""https://docs.google.com/spreadsheets/d/1XL5vhW3sbDhbH9Cz0tuDiY8C3ctxq1tqvaCgkFb8cCA/edit?usp=sharing"",""นครราชสีมา!I381"")"),0)</f>
        <v>0</v>
      </c>
      <c r="J486" s="190">
        <f ca="1">IFERROR(__xludf.DUMMYFUNCTION("IMPORTRANGE(""https://docs.google.com/spreadsheets/d/1XL5vhW3sbDhbH9Cz0tuDiY8C3ctxq1tqvaCgkFb8cCA/edit?usp=sharing"",""นครราชสีมา!J381"")"),0)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IFERROR(__xludf.DUMMYFUNCTION("IMPORTRANGE(""https://docs.google.com/spreadsheets/d/1XL5vhW3sbDhbH9Cz0tuDiY8C3ctxq1tqvaCgkFb8cCA/edit?usp=sharing"",""นครราชสีมา!I384"")"),0)</f>
        <v>0</v>
      </c>
      <c r="J489" s="190">
        <f ca="1">IFERROR(__xludf.DUMMYFUNCTION("IMPORTRANGE(""https://docs.google.com/spreadsheets/d/1XL5vhW3sbDhbH9Cz0tuDiY8C3ctxq1tqvaCgkFb8cCA/edit?usp=sharing"",""นครราชสีมา!J384"")"),0)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IFERROR(__xludf.DUMMYFUNCTION("IMPORTRANGE(""https://docs.google.com/spreadsheets/d/1XL5vhW3sbDhbH9Cz0tuDiY8C3ctxq1tqvaCgkFb8cCA/edit?usp=sharing"",""นครราชสีมา!I385"")"),0)</f>
        <v>0</v>
      </c>
      <c r="J490" s="190">
        <f ca="1">IFERROR(__xludf.DUMMYFUNCTION("IMPORTRANGE(""https://docs.google.com/spreadsheets/d/1XL5vhW3sbDhbH9Cz0tuDiY8C3ctxq1tqvaCgkFb8cCA/edit?usp=sharing"",""นครราชสีมา!J385"")"),0)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IFERROR(__xludf.DUMMYFUNCTION("IMPORTRANGE(""https://docs.google.com/spreadsheets/d/1XL5vhW3sbDhbH9Cz0tuDiY8C3ctxq1tqvaCgkFb8cCA/edit?usp=sharing"",""นครราชสีมา!I386"")"),0)</f>
        <v>0</v>
      </c>
      <c r="J491" s="190">
        <f ca="1">IFERROR(__xludf.DUMMYFUNCTION("IMPORTRANGE(""https://docs.google.com/spreadsheets/d/1XL5vhW3sbDhbH9Cz0tuDiY8C3ctxq1tqvaCgkFb8cCA/edit?usp=sharing"",""นครราชสีมา!J386"")"),0)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IFERROR(__xludf.DUMMYFUNCTION("IMPORTRANGE(""https://docs.google.com/spreadsheets/d/1XL5vhW3sbDhbH9Cz0tuDiY8C3ctxq1tqvaCgkFb8cCA/edit?usp=sharing"",""นครราชสีมา!I387"")"),0)</f>
        <v>0</v>
      </c>
      <c r="J492" s="190">
        <f ca="1">IFERROR(__xludf.DUMMYFUNCTION("IMPORTRANGE(""https://docs.google.com/spreadsheets/d/1XL5vhW3sbDhbH9Cz0tuDiY8C3ctxq1tqvaCgkFb8cCA/edit?usp=sharing"",""นครราชสีมา!J387"")"),0)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IFERROR(__xludf.DUMMYFUNCTION("IMPORTRANGE(""https://docs.google.com/spreadsheets/d/1XL5vhW3sbDhbH9Cz0tuDiY8C3ctxq1tqvaCgkFb8cCA/edit?usp=sharing"",""นครราชสีมา!I388"")"),0)</f>
        <v>0</v>
      </c>
      <c r="J493" s="190">
        <f ca="1">IFERROR(__xludf.DUMMYFUNCTION("IMPORTRANGE(""https://docs.google.com/spreadsheets/d/1XL5vhW3sbDhbH9Cz0tuDiY8C3ctxq1tqvaCgkFb8cCA/edit?usp=sharing"",""นครราชสีมา!J388"")"),0)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IFERROR(__xludf.DUMMYFUNCTION("IMPORTRANGE(""https://docs.google.com/spreadsheets/d/1XL5vhW3sbDhbH9Cz0tuDiY8C3ctxq1tqvaCgkFb8cCA/edit?usp=sharing"",""นครราชสีมา!I395"")"),0)</f>
        <v>0</v>
      </c>
      <c r="J500" s="164">
        <f ca="1">IFERROR(__xludf.DUMMYFUNCTION("IMPORTRANGE(""https://docs.google.com/spreadsheets/d/1XL5vhW3sbDhbH9Cz0tuDiY8C3ctxq1tqvaCgkFb8cCA/edit?usp=sharing"",""นครราชสีมา!J395"")"),0)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IFERROR(__xludf.DUMMYFUNCTION("IMPORTRANGE(""https://docs.google.com/spreadsheets/d/1XL5vhW3sbDhbH9Cz0tuDiY8C3ctxq1tqvaCgkFb8cCA/edit?usp=sharing"",""นครราชสีมา!I396"")"),0)</f>
        <v>0</v>
      </c>
      <c r="J501" s="164">
        <f ca="1">IFERROR(__xludf.DUMMYFUNCTION("IMPORTRANGE(""https://docs.google.com/spreadsheets/d/1XL5vhW3sbDhbH9Cz0tuDiY8C3ctxq1tqvaCgkFb8cCA/edit?usp=sharing"",""นครราชสีมา!J396"")"),0)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IFERROR(__xludf.DUMMYFUNCTION("IMPORTRANGE(""https://docs.google.com/spreadsheets/d/1XL5vhW3sbDhbH9Cz0tuDiY8C3ctxq1tqvaCgkFb8cCA/edit?usp=sharing"",""นครราชสีมา!I397"")"),0)</f>
        <v>0</v>
      </c>
      <c r="J502" s="190">
        <f ca="1">IFERROR(__xludf.DUMMYFUNCTION("IMPORTRANGE(""https://docs.google.com/spreadsheets/d/1XL5vhW3sbDhbH9Cz0tuDiY8C3ctxq1tqvaCgkFb8cCA/edit?usp=sharing"",""นครราชสีมา!J397"")"),0)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IFERROR(__xludf.DUMMYFUNCTION("IMPORTRANGE(""https://docs.google.com/spreadsheets/d/1XL5vhW3sbDhbH9Cz0tuDiY8C3ctxq1tqvaCgkFb8cCA/edit?usp=sharing"",""นครราชสีมา!I398"")"),0)</f>
        <v>0</v>
      </c>
      <c r="J503" s="199">
        <f ca="1">IFERROR(__xludf.DUMMYFUNCTION("IMPORTRANGE(""https://docs.google.com/spreadsheets/d/1XL5vhW3sbDhbH9Cz0tuDiY8C3ctxq1tqvaCgkFb8cCA/edit?usp=sharing"",""นครราชสีมา!J398"")"),0)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IFERROR(__xludf.DUMMYFUNCTION("IMPORTRANGE(""https://docs.google.com/spreadsheets/d/1XL5vhW3sbDhbH9Cz0tuDiY8C3ctxq1tqvaCgkFb8cCA/edit?usp=sharing"",""นครราชสีมา!I399"")"),0)</f>
        <v>0</v>
      </c>
      <c r="J504" s="190">
        <f ca="1">IFERROR(__xludf.DUMMYFUNCTION("IMPORTRANGE(""https://docs.google.com/spreadsheets/d/1XL5vhW3sbDhbH9Cz0tuDiY8C3ctxq1tqvaCgkFb8cCA/edit?usp=sharing"",""นครราชสีมา!J399"")"),0)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IFERROR(__xludf.DUMMYFUNCTION("IMPORTRANGE(""https://docs.google.com/spreadsheets/d/1XL5vhW3sbDhbH9Cz0tuDiY8C3ctxq1tqvaCgkFb8cCA/edit?usp=sharing"",""นครราชสีมา!I400"")"),0)</f>
        <v>0</v>
      </c>
      <c r="J505" s="199">
        <f ca="1">IFERROR(__xludf.DUMMYFUNCTION("IMPORTRANGE(""https://docs.google.com/spreadsheets/d/1XL5vhW3sbDhbH9Cz0tuDiY8C3ctxq1tqvaCgkFb8cCA/edit?usp=sharing"",""นครราชสีมา!J400"")"),0)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IFERROR(__xludf.DUMMYFUNCTION("IMPORTRANGE(""https://docs.google.com/spreadsheets/d/1XL5vhW3sbDhbH9Cz0tuDiY8C3ctxq1tqvaCgkFb8cCA/edit?usp=sharing"",""นครราชสีมา!I401"")"),0)</f>
        <v>0</v>
      </c>
      <c r="J506" s="190">
        <f ca="1">IFERROR(__xludf.DUMMYFUNCTION("IMPORTRANGE(""https://docs.google.com/spreadsheets/d/1XL5vhW3sbDhbH9Cz0tuDiY8C3ctxq1tqvaCgkFb8cCA/edit?usp=sharing"",""นครราชสีมา!J401"")"),0)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IFERROR(__xludf.DUMMYFUNCTION("IMPORTRANGE(""https://docs.google.com/spreadsheets/d/1XL5vhW3sbDhbH9Cz0tuDiY8C3ctxq1tqvaCgkFb8cCA/edit?usp=sharing"",""นครราชสีมา!I402"")"),0)</f>
        <v>0</v>
      </c>
      <c r="J507" s="199">
        <f ca="1">IFERROR(__xludf.DUMMYFUNCTION("IMPORTRANGE(""https://docs.google.com/spreadsheets/d/1XL5vhW3sbDhbH9Cz0tuDiY8C3ctxq1tqvaCgkFb8cCA/edit?usp=sharing"",""นครราชสีมา!J402"")"),0)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IFERROR(__xludf.DUMMYFUNCTION("IMPORTRANGE(""https://docs.google.com/spreadsheets/d/1XL5vhW3sbDhbH9Cz0tuDiY8C3ctxq1tqvaCgkFb8cCA/edit?usp=sharing"",""นครราชสีมา!I403"")"),0)</f>
        <v>0</v>
      </c>
      <c r="J508" s="164">
        <f ca="1">IFERROR(__xludf.DUMMYFUNCTION("IMPORTRANGE(""https://docs.google.com/spreadsheets/d/1XL5vhW3sbDhbH9Cz0tuDiY8C3ctxq1tqvaCgkFb8cCA/edit?usp=sharing"",""นครราชสีมา!J403"")"),0)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IFERROR(__xludf.DUMMYFUNCTION("IMPORTRANGE(""https://docs.google.com/spreadsheets/d/1XL5vhW3sbDhbH9Cz0tuDiY8C3ctxq1tqvaCgkFb8cCA/edit?usp=sharing"",""นครราชสีมา!I404"")"),0)</f>
        <v>0</v>
      </c>
      <c r="J509" s="164">
        <f ca="1">IFERROR(__xludf.DUMMYFUNCTION("IMPORTRANGE(""https://docs.google.com/spreadsheets/d/1XL5vhW3sbDhbH9Cz0tuDiY8C3ctxq1tqvaCgkFb8cCA/edit?usp=sharing"",""นครราชสีมา!J404"")"),0)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IFERROR(__xludf.DUMMYFUNCTION("IMPORTRANGE(""https://docs.google.com/spreadsheets/d/1XL5vhW3sbDhbH9Cz0tuDiY8C3ctxq1tqvaCgkFb8cCA/edit?usp=sharing"",""นครราชสีมา!I405"")"),0)</f>
        <v>0</v>
      </c>
      <c r="J510" s="199">
        <f ca="1">IFERROR(__xludf.DUMMYFUNCTION("IMPORTRANGE(""https://docs.google.com/spreadsheets/d/1XL5vhW3sbDhbH9Cz0tuDiY8C3ctxq1tqvaCgkFb8cCA/edit?usp=sharing"",""นครราชสีมา!J405"")"),0)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IFERROR(__xludf.DUMMYFUNCTION("IMPORTRANGE(""https://docs.google.com/spreadsheets/d/1XL5vhW3sbDhbH9Cz0tuDiY8C3ctxq1tqvaCgkFb8cCA/edit?usp=sharing"",""นครราชสีมา!I406"")"),0)</f>
        <v>0</v>
      </c>
      <c r="J511" s="199">
        <f ca="1">IFERROR(__xludf.DUMMYFUNCTION("IMPORTRANGE(""https://docs.google.com/spreadsheets/d/1XL5vhW3sbDhbH9Cz0tuDiY8C3ctxq1tqvaCgkFb8cCA/edit?usp=sharing"",""นครราชสีมา!J406"")"),0)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IFERROR(__xludf.DUMMYFUNCTION("IMPORTRANGE(""https://docs.google.com/spreadsheets/d/1XL5vhW3sbDhbH9Cz0tuDiY8C3ctxq1tqvaCgkFb8cCA/edit?usp=sharing"",""นครราชสีมา!I407"")"),0)</f>
        <v>0</v>
      </c>
      <c r="J512" s="199">
        <f ca="1">IFERROR(__xludf.DUMMYFUNCTION("IMPORTRANGE(""https://docs.google.com/spreadsheets/d/1XL5vhW3sbDhbH9Cz0tuDiY8C3ctxq1tqvaCgkFb8cCA/edit?usp=sharing"",""นครราชสีมา!J407"")"),0)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IFERROR(__xludf.DUMMYFUNCTION("IMPORTRANGE(""https://docs.google.com/spreadsheets/d/1XL5vhW3sbDhbH9Cz0tuDiY8C3ctxq1tqvaCgkFb8cCA/edit?usp=sharing"",""นครราชสีมา!I408"")"),0)</f>
        <v>0</v>
      </c>
      <c r="J513" s="199">
        <f ca="1">IFERROR(__xludf.DUMMYFUNCTION("IMPORTRANGE(""https://docs.google.com/spreadsheets/d/1XL5vhW3sbDhbH9Cz0tuDiY8C3ctxq1tqvaCgkFb8cCA/edit?usp=sharing"",""นครราชสีมา!J408"")"),0)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IFERROR(__xludf.DUMMYFUNCTION("IMPORTRANGE(""https://docs.google.com/spreadsheets/d/1XL5vhW3sbDhbH9Cz0tuDiY8C3ctxq1tqvaCgkFb8cCA/edit?usp=sharing"",""นครราชสีมา!I409"")"),0)</f>
        <v>0</v>
      </c>
      <c r="J514" s="199">
        <f ca="1">IFERROR(__xludf.DUMMYFUNCTION("IMPORTRANGE(""https://docs.google.com/spreadsheets/d/1XL5vhW3sbDhbH9Cz0tuDiY8C3ctxq1tqvaCgkFb8cCA/edit?usp=sharing"",""นครราชสีมา!J409"")"),0)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IFERROR(__xludf.DUMMYFUNCTION("IMPORTRANGE(""https://docs.google.com/spreadsheets/d/1XL5vhW3sbDhbH9Cz0tuDiY8C3ctxq1tqvaCgkFb8cCA/edit?usp=sharing"",""นครราชสีมา!I410"")"),0)</f>
        <v>0</v>
      </c>
      <c r="J515" s="199">
        <f ca="1">IFERROR(__xludf.DUMMYFUNCTION("IMPORTRANGE(""https://docs.google.com/spreadsheets/d/1XL5vhW3sbDhbH9Cz0tuDiY8C3ctxq1tqvaCgkFb8cCA/edit?usp=sharing"",""นครราชสีมา!J410"")"),0)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IFERROR(__xludf.DUMMYFUNCTION("IMPORTRANGE(""https://docs.google.com/spreadsheets/d/1XL5vhW3sbDhbH9Cz0tuDiY8C3ctxq1tqvaCgkFb8cCA/edit?usp=sharing"",""นครราชสีมา!I412"")"),0)</f>
        <v>0</v>
      </c>
      <c r="J517" s="284">
        <f ca="1">IFERROR(__xludf.DUMMYFUNCTION("IMPORTRANGE(""https://docs.google.com/spreadsheets/d/1XL5vhW3sbDhbH9Cz0tuDiY8C3ctxq1tqvaCgkFb8cCA/edit?usp=sharing"",""นครราชสีมา!J412"")"),0)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IFERROR(__xludf.DUMMYFUNCTION("IMPORTRANGE(""https://docs.google.com/spreadsheets/d/1XL5vhW3sbDhbH9Cz0tuDiY8C3ctxq1tqvaCgkFb8cCA/edit?usp=sharing"",""นครราชสีมา!I413"")"),0)</f>
        <v>0</v>
      </c>
      <c r="J518" s="284">
        <f ca="1">IFERROR(__xludf.DUMMYFUNCTION("IMPORTRANGE(""https://docs.google.com/spreadsheets/d/1XL5vhW3sbDhbH9Cz0tuDiY8C3ctxq1tqvaCgkFb8cCA/edit?usp=sharing"",""นครราชสีมา!J413"")"),0)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IFERROR(__xludf.DUMMYFUNCTION("IMPORTRANGE(""https://docs.google.com/spreadsheets/d/1XL5vhW3sbDhbH9Cz0tuDiY8C3ctxq1tqvaCgkFb8cCA/edit?usp=sharing"",""นครราชสีมา!I414"")"),0)</f>
        <v>0</v>
      </c>
      <c r="J519" s="189">
        <f ca="1">IFERROR(__xludf.DUMMYFUNCTION("IMPORTRANGE(""https://docs.google.com/spreadsheets/d/1XL5vhW3sbDhbH9Cz0tuDiY8C3ctxq1tqvaCgkFb8cCA/edit?usp=sharing"",""นครราชสีมา!J414"")"),0)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IFERROR(__xludf.DUMMYFUNCTION("IMPORTRANGE(""https://docs.google.com/spreadsheets/d/1XL5vhW3sbDhbH9Cz0tuDiY8C3ctxq1tqvaCgkFb8cCA/edit?usp=sharing"",""นครราชสีมา!I415"")"),0)</f>
        <v>0</v>
      </c>
      <c r="J520" s="189">
        <f ca="1">IFERROR(__xludf.DUMMYFUNCTION("IMPORTRANGE(""https://docs.google.com/spreadsheets/d/1XL5vhW3sbDhbH9Cz0tuDiY8C3ctxq1tqvaCgkFb8cCA/edit?usp=sharing"",""นครราชสีมา!J415"")"),0)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IFERROR(__xludf.DUMMYFUNCTION("IMPORTRANGE(""https://docs.google.com/spreadsheets/d/1XL5vhW3sbDhbH9Cz0tuDiY8C3ctxq1tqvaCgkFb8cCA/edit?usp=sharing"",""นครราชสีมา!I416"")"),0)</f>
        <v>0</v>
      </c>
      <c r="J521" s="189">
        <f ca="1">IFERROR(__xludf.DUMMYFUNCTION("IMPORTRANGE(""https://docs.google.com/spreadsheets/d/1XL5vhW3sbDhbH9Cz0tuDiY8C3ctxq1tqvaCgkFb8cCA/edit?usp=sharing"",""นครราชสีมา!J416"")"),0)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IFERROR(__xludf.DUMMYFUNCTION("IMPORTRANGE(""https://docs.google.com/spreadsheets/d/1XL5vhW3sbDhbH9Cz0tuDiY8C3ctxq1tqvaCgkFb8cCA/edit?usp=sharing"",""นครราชสีมา!I417"")"),0)</f>
        <v>0</v>
      </c>
      <c r="J522" s="189">
        <f ca="1">IFERROR(__xludf.DUMMYFUNCTION("IMPORTRANGE(""https://docs.google.com/spreadsheets/d/1XL5vhW3sbDhbH9Cz0tuDiY8C3ctxq1tqvaCgkFb8cCA/edit?usp=sharing"",""นครราชสีมา!J417"")"),0)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IFERROR(__xludf.DUMMYFUNCTION("IMPORTRANGE(""https://docs.google.com/spreadsheets/d/1XL5vhW3sbDhbH9Cz0tuDiY8C3ctxq1tqvaCgkFb8cCA/edit?usp=sharing"",""นครราชสีมา!I418"")"),0)</f>
        <v>0</v>
      </c>
      <c r="J523" s="189">
        <f ca="1">IFERROR(__xludf.DUMMYFUNCTION("IMPORTRANGE(""https://docs.google.com/spreadsheets/d/1XL5vhW3sbDhbH9Cz0tuDiY8C3ctxq1tqvaCgkFb8cCA/edit?usp=sharing"",""นครราชสีมา!J418"")"),555)</f>
        <v>555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IFERROR(__xludf.DUMMYFUNCTION("IMPORTRANGE(""https://docs.google.com/spreadsheets/d/1XL5vhW3sbDhbH9Cz0tuDiY8C3ctxq1tqvaCgkFb8cCA/edit?usp=sharing"",""นครราชสีมา!I419"")"),0)</f>
        <v>0</v>
      </c>
      <c r="J524" s="189">
        <f ca="1">IFERROR(__xludf.DUMMYFUNCTION("IMPORTRANGE(""https://docs.google.com/spreadsheets/d/1XL5vhW3sbDhbH9Cz0tuDiY8C3ctxq1tqvaCgkFb8cCA/edit?usp=sharing"",""นครราชสีมา!J419"")"),33)</f>
        <v>33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IFERROR(__xludf.DUMMYFUNCTION("IMPORTRANGE(""https://docs.google.com/spreadsheets/d/1XL5vhW3sbDhbH9Cz0tuDiY8C3ctxq1tqvaCgkFb8cCA/edit?usp=sharing"",""นครราชสีมา!I420"")"),555)</f>
        <v>555</v>
      </c>
      <c r="J525" s="284">
        <f ca="1">IFERROR(__xludf.DUMMYFUNCTION("IMPORTRANGE(""https://docs.google.com/spreadsheets/d/1XL5vhW3sbDhbH9Cz0tuDiY8C3ctxq1tqvaCgkFb8cCA/edit?usp=sharing"",""นครราชสีมา!J420"")"),0)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IFERROR(__xludf.DUMMYFUNCTION("IMPORTRANGE(""https://docs.google.com/spreadsheets/d/1XL5vhW3sbDhbH9Cz0tuDiY8C3ctxq1tqvaCgkFb8cCA/edit?usp=sharing"",""นครราชสีมา!I421"")"),33)</f>
        <v>33</v>
      </c>
      <c r="J526" s="284">
        <f ca="1">IFERROR(__xludf.DUMMYFUNCTION("IMPORTRANGE(""https://docs.google.com/spreadsheets/d/1XL5vhW3sbDhbH9Cz0tuDiY8C3ctxq1tqvaCgkFb8cCA/edit?usp=sharing"",""นครราชสีมา!J421"")"),0)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IFERROR(__xludf.DUMMYFUNCTION("IMPORTRANGE(""https://docs.google.com/spreadsheets/d/1XL5vhW3sbDhbH9Cz0tuDiY8C3ctxq1tqvaCgkFb8cCA/edit?usp=sharing"",""นครราชสีมา!I422"")"),0)</f>
        <v>0</v>
      </c>
      <c r="J527" s="199">
        <f ca="1">IFERROR(__xludf.DUMMYFUNCTION("IMPORTRANGE(""https://docs.google.com/spreadsheets/d/1XL5vhW3sbDhbH9Cz0tuDiY8C3ctxq1tqvaCgkFb8cCA/edit?usp=sharing"",""นครราชสีมา!J422"")"),0)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IFERROR(__xludf.DUMMYFUNCTION("IMPORTRANGE(""https://docs.google.com/spreadsheets/d/1XL5vhW3sbDhbH9Cz0tuDiY8C3ctxq1tqvaCgkFb8cCA/edit?usp=sharing"",""นครราชสีมา!I423"")"),0)</f>
        <v>0</v>
      </c>
      <c r="J528" s="199">
        <f ca="1">IFERROR(__xludf.DUMMYFUNCTION("IMPORTRANGE(""https://docs.google.com/spreadsheets/d/1XL5vhW3sbDhbH9Cz0tuDiY8C3ctxq1tqvaCgkFb8cCA/edit?usp=sharing"",""นครราชสีมา!J423"")"),0)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IFERROR(__xludf.DUMMYFUNCTION("IMPORTRANGE(""https://docs.google.com/spreadsheets/d/1XL5vhW3sbDhbH9Cz0tuDiY8C3ctxq1tqvaCgkFb8cCA/edit?usp=sharing"",""นครราชสีมา!I424"")"),0)</f>
        <v>0</v>
      </c>
      <c r="J529" s="199">
        <f ca="1">IFERROR(__xludf.DUMMYFUNCTION("IMPORTRANGE(""https://docs.google.com/spreadsheets/d/1XL5vhW3sbDhbH9Cz0tuDiY8C3ctxq1tqvaCgkFb8cCA/edit?usp=sharing"",""นครราชสีมา!J424"")"),0)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IFERROR(__xludf.DUMMYFUNCTION("IMPORTRANGE(""https://docs.google.com/spreadsheets/d/1XL5vhW3sbDhbH9Cz0tuDiY8C3ctxq1tqvaCgkFb8cCA/edit?usp=sharing"",""นครราชสีมา!I425"")"),0)</f>
        <v>0</v>
      </c>
      <c r="J530" s="199">
        <f ca="1">IFERROR(__xludf.DUMMYFUNCTION("IMPORTRANGE(""https://docs.google.com/spreadsheets/d/1XL5vhW3sbDhbH9Cz0tuDiY8C3ctxq1tqvaCgkFb8cCA/edit?usp=sharing"",""นครราชสีมา!J425"")"),0)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IFERROR(__xludf.DUMMYFUNCTION("IMPORTRANGE(""https://docs.google.com/spreadsheets/d/1XL5vhW3sbDhbH9Cz0tuDiY8C3ctxq1tqvaCgkFb8cCA/edit?usp=sharing"",""นครราชสีมา!I426"")"),0)</f>
        <v>0</v>
      </c>
      <c r="J531" s="199">
        <f ca="1">IFERROR(__xludf.DUMMYFUNCTION("IMPORTRANGE(""https://docs.google.com/spreadsheets/d/1XL5vhW3sbDhbH9Cz0tuDiY8C3ctxq1tqvaCgkFb8cCA/edit?usp=sharing"",""นครราชสีมา!J426"")"),0)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IFERROR(__xludf.DUMMYFUNCTION("IMPORTRANGE(""https://docs.google.com/spreadsheets/d/1XL5vhW3sbDhbH9Cz0tuDiY8C3ctxq1tqvaCgkFb8cCA/edit?usp=sharing"",""นครราชสีมา!L429"")"),0)</f>
        <v>0</v>
      </c>
      <c r="M534" s="166"/>
      <c r="N534" s="170">
        <f ca="1">IFERROR(__xludf.DUMMYFUNCTION("IMPORTRANGE(""https://docs.google.com/spreadsheets/d/1XL5vhW3sbDhbH9Cz0tuDiY8C3ctxq1tqvaCgkFb8cCA/edit?usp=sharing"",""นครราชสีมา!M429"")"),0)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IFERROR(__xludf.DUMMYFUNCTION("IMPORTRANGE(""https://docs.google.com/spreadsheets/d/1XL5vhW3sbDhbH9Cz0tuDiY8C3ctxq1tqvaCgkFb8cCA/edit?usp=sharing"",""นครราชสีมา!L430"")"),36040)</f>
        <v>36040</v>
      </c>
      <c r="M535" s="167"/>
      <c r="N535" s="170">
        <f ca="1">IFERROR(__xludf.DUMMYFUNCTION("IMPORTRANGE(""https://docs.google.com/spreadsheets/d/1XL5vhW3sbDhbH9Cz0tuDiY8C3ctxq1tqvaCgkFb8cCA/edit?usp=sharing"",""นครราชสีมา!M430"")"),26450)</f>
        <v>26450</v>
      </c>
      <c r="O535" s="170">
        <f t="shared" ca="1" si="118"/>
        <v>73.390677025527197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IFERROR(__xludf.DUMMYFUNCTION("IMPORTRANGE(""https://docs.google.com/spreadsheets/d/1XL5vhW3sbDhbH9Cz0tuDiY8C3ctxq1tqvaCgkFb8cCA/edit?usp=sharing"",""นครราชสีมา!L431"")"),0)</f>
        <v>0</v>
      </c>
      <c r="M536" s="170"/>
      <c r="N536" s="170">
        <f ca="1">IFERROR(__xludf.DUMMYFUNCTION("IMPORTRANGE(""https://docs.google.com/spreadsheets/d/1XL5vhW3sbDhbH9Cz0tuDiY8C3ctxq1tqvaCgkFb8cCA/edit?usp=sharing"",""นครราชสีมา!M431"")"),0)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IFERROR(__xludf.DUMMYFUNCTION("IMPORTRANGE(""https://docs.google.com/spreadsheets/d/1XL5vhW3sbDhbH9Cz0tuDiY8C3ctxq1tqvaCgkFb8cCA/edit?usp=sharing"",""นครราชสีมา!L432"")"),36040)</f>
        <v>36040</v>
      </c>
      <c r="M537" s="170"/>
      <c r="N537" s="170">
        <f ca="1">IFERROR(__xludf.DUMMYFUNCTION("IMPORTRANGE(""https://docs.google.com/spreadsheets/d/1XL5vhW3sbDhbH9Cz0tuDiY8C3ctxq1tqvaCgkFb8cCA/edit?usp=sharing"",""นครราชสีมา!M432"")"),26450)</f>
        <v>26450</v>
      </c>
      <c r="O537" s="170">
        <f t="shared" ca="1" si="118"/>
        <v>73.390677025527197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IFERROR(__xludf.DUMMYFUNCTION("IMPORTRANGE(""https://docs.google.com/spreadsheets/d/1XL5vhW3sbDhbH9Cz0tuDiY8C3ctxq1tqvaCgkFb8cCA/edit?usp=sharing"",""นครราชสีมา!J438"")"),0)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IFERROR(__xludf.DUMMYFUNCTION("IMPORTRANGE(""https://docs.google.com/spreadsheets/d/1XL5vhW3sbDhbH9Cz0tuDiY8C3ctxq1tqvaCgkFb8cCA/edit?usp=sharing"",""นครราชสีมา!J439"")"),1)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IFERROR(__xludf.DUMMYFUNCTION("IMPORTRANGE(""https://docs.google.com/spreadsheets/d/1XL5vhW3sbDhbH9Cz0tuDiY8C3ctxq1tqvaCgkFb8cCA/edit?usp=sharing"",""นครราชสีมา!J440"")"),1)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IFERROR(__xludf.DUMMYFUNCTION("IMPORTRANGE(""https://docs.google.com/spreadsheets/d/1XL5vhW3sbDhbH9Cz0tuDiY8C3ctxq1tqvaCgkFb8cCA/edit?usp=sharing"",""นครราชสีมา!J441"")"),1)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IFERROR(__xludf.DUMMYFUNCTION("IMPORTRANGE(""https://docs.google.com/spreadsheets/d/1XL5vhW3sbDhbH9Cz0tuDiY8C3ctxq1tqvaCgkFb8cCA/edit?usp=sharing"",""นครราชสีมา!I442"")"),24)</f>
        <v>24</v>
      </c>
      <c r="J547" s="190">
        <f ca="1">IFERROR(__xludf.DUMMYFUNCTION("IMPORTRANGE(""https://docs.google.com/spreadsheets/d/1XL5vhW3sbDhbH9Cz0tuDiY8C3ctxq1tqvaCgkFb8cCA/edit?usp=sharing"",""นครราชสีมา!J442"")"),24)</f>
        <v>24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IFERROR(__xludf.DUMMYFUNCTION("IMPORTRANGE(""https://docs.google.com/spreadsheets/d/1XL5vhW3sbDhbH9Cz0tuDiY8C3ctxq1tqvaCgkFb8cCA/edit?usp=sharing"",""นครราชสีมา!J166"")"),0)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IFERROR(__xludf.DUMMYFUNCTION("IMPORTRANGE(""https://docs.google.com/spreadsheets/d/1XL5vhW3sbDhbH9Cz0tuDiY8C3ctxq1tqvaCgkFb8cCA/edit?usp=sharing"",""นครราชสีมา!J444"")"),0)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IFERROR(__xludf.DUMMYFUNCTION("IMPORTRANGE(""https://docs.google.com/spreadsheets/d/1XL5vhW3sbDhbH9Cz0tuDiY8C3ctxq1tqvaCgkFb8cCA/edit?usp=sharing"",""นครราชสีมา!J446"")"),1449)</f>
        <v>1449</v>
      </c>
      <c r="K551" s="411">
        <f ca="1">IF(I551&gt;0,J551*100/I551,0)</f>
        <v>28.98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IFERROR(__xludf.DUMMYFUNCTION("IMPORTRANGE(""https://docs.google.com/spreadsheets/d/1XL5vhW3sbDhbH9Cz0tuDiY8C3ctxq1tqvaCgkFb8cCA/edit?usp=sharing"",""นครราชสีมา!M446"")"),186339.8)</f>
        <v>186339.8</v>
      </c>
      <c r="O551" s="412">
        <f t="shared" ref="O551:O555" ca="1" si="120">+IF(L551&gt;0,N551*100/L551,0)</f>
        <v>58.231187499999997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IFERROR(__xludf.DUMMYFUNCTION("IMPORTRANGE(""https://docs.google.com/spreadsheets/d/1XL5vhW3sbDhbH9Cz0tuDiY8C3ctxq1tqvaCgkFb8cCA/edit?usp=sharing"",""นครราชสีมา!L447"")"),0)</f>
        <v>0</v>
      </c>
      <c r="M552" s="166"/>
      <c r="N552" s="170">
        <f ca="1">IFERROR(__xludf.DUMMYFUNCTION("IMPORTRANGE(""https://docs.google.com/spreadsheets/d/1XL5vhW3sbDhbH9Cz0tuDiY8C3ctxq1tqvaCgkFb8cCA/edit?usp=sharing"",""นครราชสีมา!M447"")"),0)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7"/>
      <c r="N553" s="170">
        <f ca="1">IFERROR(__xludf.DUMMYFUNCTION("IMPORTRANGE(""https://docs.google.com/spreadsheets/d/1XL5vhW3sbDhbH9Cz0tuDiY8C3ctxq1tqvaCgkFb8cCA/edit?usp=sharing"",""นครราชสีมา!M448"")"),186339.8)</f>
        <v>186339.8</v>
      </c>
      <c r="O553" s="170">
        <f t="shared" ca="1" si="120"/>
        <v>58.231187499999997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IFERROR(__xludf.DUMMYFUNCTION("IMPORTRANGE(""https://docs.google.com/spreadsheets/d/1XL5vhW3sbDhbH9Cz0tuDiY8C3ctxq1tqvaCgkFb8cCA/edit?usp=sharing"",""นครราชสีมา!L449"")"),0)</f>
        <v>0</v>
      </c>
      <c r="M554" s="170"/>
      <c r="N554" s="170">
        <f ca="1">IFERROR(__xludf.DUMMYFUNCTION("IMPORTRANGE(""https://docs.google.com/spreadsheets/d/1XL5vhW3sbDhbH9Cz0tuDiY8C3ctxq1tqvaCgkFb8cCA/edit?usp=sharing"",""นครราชสีมา!M449"")"),0)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IFERROR(__xludf.DUMMYFUNCTION("IMPORTRANGE(""https://docs.google.com/spreadsheets/d/1XL5vhW3sbDhbH9Cz0tuDiY8C3ctxq1tqvaCgkFb8cCA/edit?usp=sharing"",""นครราชสีมา!L450"")"),320000)</f>
        <v>320000</v>
      </c>
      <c r="M555" s="170"/>
      <c r="N555" s="170">
        <f ca="1">IFERROR(__xludf.DUMMYFUNCTION("IMPORTRANGE(""https://docs.google.com/spreadsheets/d/1XL5vhW3sbDhbH9Cz0tuDiY8C3ctxq1tqvaCgkFb8cCA/edit?usp=sharing"",""นครราชสีมา!M450"")"),186339.8)</f>
        <v>186339.8</v>
      </c>
      <c r="O555" s="170">
        <f t="shared" ca="1" si="120"/>
        <v>58.231187499999997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IFERROR(__xludf.DUMMYFUNCTION("IMPORTRANGE(""https://docs.google.com/spreadsheets/d/1XL5vhW3sbDhbH9Cz0tuDiY8C3ctxq1tqvaCgkFb8cCA/edit?usp=sharing"",""นครราชสีมา!M451"")"),0)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IFERROR(__xludf.DUMMYFUNCTION("IMPORTRANGE(""https://docs.google.com/spreadsheets/d/1XL5vhW3sbDhbH9Cz0tuDiY8C3ctxq1tqvaCgkFb8cCA/edit?usp=sharing"",""นครราชสีมา!M452"")"),0)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IFERROR(__xludf.DUMMYFUNCTION("IMPORTRANGE(""https://docs.google.com/spreadsheets/d/1XL5vhW3sbDhbH9Cz0tuDiY8C3ctxq1tqvaCgkFb8cCA/edit?usp=sharing"",""นครราชสีมา!M453"")"),0)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IFERROR(__xludf.DUMMYFUNCTION("IMPORTRANGE(""https://docs.google.com/spreadsheets/d/1XL5vhW3sbDhbH9Cz0tuDiY8C3ctxq1tqvaCgkFb8cCA/edit?usp=sharing"",""นครราชสีมา!M454"")"),186339.8)</f>
        <v>186339.8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IFERROR(__xludf.DUMMYFUNCTION("IMPORTRANGE(""https://docs.google.com/spreadsheets/d/1XL5vhW3sbDhbH9Cz0tuDiY8C3ctxq1tqvaCgkFb8cCA/edit?usp=sharing"",""นครราชสีมา!I455"")"),5000)</f>
        <v>5000</v>
      </c>
      <c r="J560" s="164">
        <f ca="1">IFERROR(__xludf.DUMMYFUNCTION("IMPORTRANGE(""https://docs.google.com/spreadsheets/d/1XL5vhW3sbDhbH9Cz0tuDiY8C3ctxq1tqvaCgkFb8cCA/edit?usp=sharing"",""นครราชสีมา!J455"")"),1449)</f>
        <v>1449</v>
      </c>
      <c r="K560" s="225">
        <f t="shared" ref="K560:K564" ca="1" si="121">IF(I560&gt;0,J560*100/I560,0)</f>
        <v>28.98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IFERROR(__xludf.DUMMYFUNCTION("IMPORTRANGE(""https://docs.google.com/spreadsheets/d/1XL5vhW3sbDhbH9Cz0tuDiY8C3ctxq1tqvaCgkFb8cCA/edit?usp=sharing"",""นครราชสีมา!I456"")"),0)</f>
        <v>0</v>
      </c>
      <c r="J561" s="205">
        <f ca="1">IFERROR(__xludf.DUMMYFUNCTION("IMPORTRANGE(""https://docs.google.com/spreadsheets/d/1XL5vhW3sbDhbH9Cz0tuDiY8C3ctxq1tqvaCgkFb8cCA/edit?usp=sharing"",""นครราชสีมา!J456"")"),74)</f>
        <v>74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IFERROR(__xludf.DUMMYFUNCTION("IMPORTRANGE(""https://docs.google.com/spreadsheets/d/1XL5vhW3sbDhbH9Cz0tuDiY8C3ctxq1tqvaCgkFb8cCA/edit?usp=sharing"",""นครราชสีมา!I457"")"),0)</f>
        <v>0</v>
      </c>
      <c r="J562" s="205" t="str">
        <f ca="1">IFERROR(__xludf.DUMMYFUNCTION("IMPORTRANGE(""https://docs.google.com/spreadsheets/d/1XL5vhW3sbDhbH9Cz0tuDiY8C3ctxq1tqvaCgkFb8cCA/edit?usp=sharing"",""นครราชสีมา!J457"")"),"")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IFERROR(__xludf.DUMMYFUNCTION("IMPORTRANGE(""https://docs.google.com/spreadsheets/d/1XL5vhW3sbDhbH9Cz0tuDiY8C3ctxq1tqvaCgkFb8cCA/edit?usp=sharing"",""นครราชสีมา!I458"")"),0)</f>
        <v>0</v>
      </c>
      <c r="J563" s="189" t="str">
        <f ca="1">IFERROR(__xludf.DUMMYFUNCTION("IMPORTRANGE(""https://docs.google.com/spreadsheets/d/1XL5vhW3sbDhbH9Cz0tuDiY8C3ctxq1tqvaCgkFb8cCA/edit?usp=sharing"",""นครราชสีมา!J458"")"),"")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IFERROR(__xludf.DUMMYFUNCTION("IMPORTRANGE(""https://docs.google.com/spreadsheets/d/1XL5vhW3sbDhbH9Cz0tuDiY8C3ctxq1tqvaCgkFb8cCA/edit?usp=sharing"",""นครราชสีมา!J459"")"),10454)</f>
        <v>10454</v>
      </c>
      <c r="K564" s="372">
        <f t="shared" ca="1" si="121"/>
        <v>116.15555555555555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IFERROR(__xludf.DUMMYFUNCTION("IMPORTRANGE(""https://docs.google.com/spreadsheets/d/1XL5vhW3sbDhbH9Cz0tuDiY8C3ctxq1tqvaCgkFb8cCA/edit?usp=sharing"",""นครราชสีมา!M459"")"),134894.08)</f>
        <v>134894.07999999999</v>
      </c>
      <c r="O564" s="373">
        <f t="shared" ref="O564:O568" ca="1" si="122">+IF(L564&gt;0,N564*100/L564,0)</f>
        <v>63.87030303030302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IFERROR(__xludf.DUMMYFUNCTION("IMPORTRANGE(""https://docs.google.com/spreadsheets/d/1XL5vhW3sbDhbH9Cz0tuDiY8C3ctxq1tqvaCgkFb8cCA/edit?usp=sharing"",""นครราชสีมา!L460"")"),0)</f>
        <v>0</v>
      </c>
      <c r="M565" s="166"/>
      <c r="N565" s="170">
        <f ca="1">IFERROR(__xludf.DUMMYFUNCTION("IMPORTRANGE(""https://docs.google.com/spreadsheets/d/1XL5vhW3sbDhbH9Cz0tuDiY8C3ctxq1tqvaCgkFb8cCA/edit?usp=sharing"",""นครราชสีมา!M460"")"),0)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7"/>
      <c r="N566" s="170">
        <f ca="1">IFERROR(__xludf.DUMMYFUNCTION("IMPORTRANGE(""https://docs.google.com/spreadsheets/d/1XL5vhW3sbDhbH9Cz0tuDiY8C3ctxq1tqvaCgkFb8cCA/edit?usp=sharing"",""นครราชสีมา!M461"")"),134894.08)</f>
        <v>134894.07999999999</v>
      </c>
      <c r="O566" s="170">
        <f t="shared" ca="1" si="122"/>
        <v>63.87030303030302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IFERROR(__xludf.DUMMYFUNCTION("IMPORTRANGE(""https://docs.google.com/spreadsheets/d/1XL5vhW3sbDhbH9Cz0tuDiY8C3ctxq1tqvaCgkFb8cCA/edit?usp=sharing"",""นครราชสีมา!L462"")"),0)</f>
        <v>0</v>
      </c>
      <c r="M567" s="170"/>
      <c r="N567" s="170">
        <f ca="1">IFERROR(__xludf.DUMMYFUNCTION("IMPORTRANGE(""https://docs.google.com/spreadsheets/d/1XL5vhW3sbDhbH9Cz0tuDiY8C3ctxq1tqvaCgkFb8cCA/edit?usp=sharing"",""นครราชสีมา!M462"")"),0)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IFERROR(__xludf.DUMMYFUNCTION("IMPORTRANGE(""https://docs.google.com/spreadsheets/d/1XL5vhW3sbDhbH9Cz0tuDiY8C3ctxq1tqvaCgkFb8cCA/edit?usp=sharing"",""นครราชสีมา!L463"")"),211200)</f>
        <v>211200</v>
      </c>
      <c r="M568" s="170"/>
      <c r="N568" s="170">
        <f ca="1">IFERROR(__xludf.DUMMYFUNCTION("IMPORTRANGE(""https://docs.google.com/spreadsheets/d/1XL5vhW3sbDhbH9Cz0tuDiY8C3ctxq1tqvaCgkFb8cCA/edit?usp=sharing"",""นครราชสีมา!M463"")"),134894.08)</f>
        <v>134894.07999999999</v>
      </c>
      <c r="O568" s="170">
        <f t="shared" ca="1" si="122"/>
        <v>63.87030303030302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IFERROR(__xludf.DUMMYFUNCTION("IMPORTRANGE(""https://docs.google.com/spreadsheets/d/1XL5vhW3sbDhbH9Cz0tuDiY8C3ctxq1tqvaCgkFb8cCA/edit?usp=sharing"",""นครราชสีมา!M464"")"),0)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IFERROR(__xludf.DUMMYFUNCTION("IMPORTRANGE(""https://docs.google.com/spreadsheets/d/1XL5vhW3sbDhbH9Cz0tuDiY8C3ctxq1tqvaCgkFb8cCA/edit?usp=sharing"",""นครราชสีมา!M465"")"),0)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IFERROR(__xludf.DUMMYFUNCTION("IMPORTRANGE(""https://docs.google.com/spreadsheets/d/1XL5vhW3sbDhbH9Cz0tuDiY8C3ctxq1tqvaCgkFb8cCA/edit?usp=sharing"",""นครราชสีมา!M466"")"),41800.08)</f>
        <v>41800.080000000002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IFERROR(__xludf.DUMMYFUNCTION("IMPORTRANGE(""https://docs.google.com/spreadsheets/d/1XL5vhW3sbDhbH9Cz0tuDiY8C3ctxq1tqvaCgkFb8cCA/edit?usp=sharing"",""นครราชสีมา!M467"")"),93094)</f>
        <v>93094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IFERROR(__xludf.DUMMYFUNCTION("IMPORTRANGE(""https://docs.google.com/spreadsheets/d/1XL5vhW3sbDhbH9Cz0tuDiY8C3ctxq1tqvaCgkFb8cCA/edit?usp=sharing"",""นครราชสีมา!J468"")"),10454)</f>
        <v>10454</v>
      </c>
      <c r="K573" s="203">
        <f ca="1">IF(I573&gt;0,J573*100/I573,0)</f>
        <v>116.15555555555555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IFERROR(__xludf.DUMMYFUNCTION("IMPORTRANGE(""https://docs.google.com/spreadsheets/d/1XL5vhW3sbDhbH9Cz0tuDiY8C3ctxq1tqvaCgkFb8cCA/edit?usp=sharing"",""นครราชสีมา!I470"")"),0)</f>
        <v>0</v>
      </c>
      <c r="J575" s="199">
        <f ca="1">IFERROR(__xludf.DUMMYFUNCTION("IMPORTRANGE(""https://docs.google.com/spreadsheets/d/1XL5vhW3sbDhbH9Cz0tuDiY8C3ctxq1tqvaCgkFb8cCA/edit?usp=sharing"",""นครราชสีมา!J470"")"),7)</f>
        <v>7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IFERROR(__xludf.DUMMYFUNCTION("IMPORTRANGE(""https://docs.google.com/spreadsheets/d/1XL5vhW3sbDhbH9Cz0tuDiY8C3ctxq1tqvaCgkFb8cCA/edit?usp=sharing"",""นครราชสีมา!I471"")"),0)</f>
        <v>0</v>
      </c>
      <c r="J576" s="199">
        <f ca="1">IFERROR(__xludf.DUMMYFUNCTION("IMPORTRANGE(""https://docs.google.com/spreadsheets/d/1XL5vhW3sbDhbH9Cz0tuDiY8C3ctxq1tqvaCgkFb8cCA/edit?usp=sharing"",""นครราชสีมา!J471"")"),1059)</f>
        <v>1059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IFERROR(__xludf.DUMMYFUNCTION("IMPORTRANGE(""https://docs.google.com/spreadsheets/d/1XL5vhW3sbDhbH9Cz0tuDiY8C3ctxq1tqvaCgkFb8cCA/edit?usp=sharing"",""นครราชสีมา!I472"")"),0)</f>
        <v>0</v>
      </c>
      <c r="J577" s="190">
        <f ca="1">IFERROR(__xludf.DUMMYFUNCTION("IMPORTRANGE(""https://docs.google.com/spreadsheets/d/1XL5vhW3sbDhbH9Cz0tuDiY8C3ctxq1tqvaCgkFb8cCA/edit?usp=sharing"",""นครราชสีมา!J472"")"),9393)</f>
        <v>9393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IFERROR(__xludf.DUMMYFUNCTION("IMPORTRANGE(""https://docs.google.com/spreadsheets/d/1XL5vhW3sbDhbH9Cz0tuDiY8C3ctxq1tqvaCgkFb8cCA/edit?usp=sharing"",""นครราชสีมา!I473"")"),0)</f>
        <v>0</v>
      </c>
      <c r="J578" s="199">
        <f ca="1">IFERROR(__xludf.DUMMYFUNCTION("IMPORTRANGE(""https://docs.google.com/spreadsheets/d/1XL5vhW3sbDhbH9Cz0tuDiY8C3ctxq1tqvaCgkFb8cCA/edit?usp=sharing"",""นครราชสีมา!J473"")"),2)</f>
        <v>2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IFERROR(__xludf.DUMMYFUNCTION("IMPORTRANGE(""https://docs.google.com/spreadsheets/d/1XL5vhW3sbDhbH9Cz0tuDiY8C3ctxq1tqvaCgkFb8cCA/edit?usp=sharing"",""นครราชสีมา!I474"")"),0)</f>
        <v>0</v>
      </c>
      <c r="J579" s="199">
        <f ca="1">IFERROR(__xludf.DUMMYFUNCTION("IMPORTRANGE(""https://docs.google.com/spreadsheets/d/1XL5vhW3sbDhbH9Cz0tuDiY8C3ctxq1tqvaCgkFb8cCA/edit?usp=sharing"",""นครราชสีมา!J474"")"),0)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IFERROR(__xludf.DUMMYFUNCTION("IMPORTRANGE(""https://docs.google.com/spreadsheets/d/1XL5vhW3sbDhbH9Cz0tuDiY8C3ctxq1tqvaCgkFb8cCA/edit?usp=sharing"",""นครราชสีมา!I475"")"),2000)</f>
        <v>2000</v>
      </c>
      <c r="J580" s="371">
        <f ca="1">IFERROR(__xludf.DUMMYFUNCTION("IMPORTRANGE(""https://docs.google.com/spreadsheets/d/1XL5vhW3sbDhbH9Cz0tuDiY8C3ctxq1tqvaCgkFb8cCA/edit?usp=sharing"",""นครราชสีมา!J475"")"),37)</f>
        <v>37</v>
      </c>
      <c r="K580" s="372">
        <f ca="1">IF(I580&gt;0,J580*100/I580,0)</f>
        <v>1.85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IFERROR(__xludf.DUMMYFUNCTION("IMPORTRANGE(""https://docs.google.com/spreadsheets/d/1XL5vhW3sbDhbH9Cz0tuDiY8C3ctxq1tqvaCgkFb8cCA/edit?usp=sharing"",""นครราชสีมา!M475"")"),560476.35)</f>
        <v>560476.35</v>
      </c>
      <c r="O580" s="373">
        <f t="shared" ref="O580:O584" ca="1" si="124">+IF(L580&gt;0,N580*100/L580,0)</f>
        <v>48.967005940940069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IFERROR(__xludf.DUMMYFUNCTION("IMPORTRANGE(""https://docs.google.com/spreadsheets/d/1XL5vhW3sbDhbH9Cz0tuDiY8C3ctxq1tqvaCgkFb8cCA/edit?usp=sharing"",""นครราชสีมา!L476"")"),0)</f>
        <v>0</v>
      </c>
      <c r="M581" s="166"/>
      <c r="N581" s="170">
        <f ca="1">IFERROR(__xludf.DUMMYFUNCTION("IMPORTRANGE(""https://docs.google.com/spreadsheets/d/1XL5vhW3sbDhbH9Cz0tuDiY8C3ctxq1tqvaCgkFb8cCA/edit?usp=sharing"",""นครราชสีมา!M476"")"),0)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7"/>
      <c r="N582" s="170">
        <f ca="1">IFERROR(__xludf.DUMMYFUNCTION("IMPORTRANGE(""https://docs.google.com/spreadsheets/d/1XL5vhW3sbDhbH9Cz0tuDiY8C3ctxq1tqvaCgkFb8cCA/edit?usp=sharing"",""นครราชสีมา!M477"")"),560476.35)</f>
        <v>560476.35</v>
      </c>
      <c r="O582" s="170">
        <f t="shared" ca="1" si="124"/>
        <v>48.967005940940069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IFERROR(__xludf.DUMMYFUNCTION("IMPORTRANGE(""https://docs.google.com/spreadsheets/d/1XL5vhW3sbDhbH9Cz0tuDiY8C3ctxq1tqvaCgkFb8cCA/edit?usp=sharing"",""นครราชสีมา!L478"")"),0)</f>
        <v>0</v>
      </c>
      <c r="M583" s="170"/>
      <c r="N583" s="170">
        <f ca="1">IFERROR(__xludf.DUMMYFUNCTION("IMPORTRANGE(""https://docs.google.com/spreadsheets/d/1XL5vhW3sbDhbH9Cz0tuDiY8C3ctxq1tqvaCgkFb8cCA/edit?usp=sharing"",""นครราชสีมา!M478"")"),0)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70"/>
      <c r="N584" s="170">
        <f ca="1">IFERROR(__xludf.DUMMYFUNCTION("IMPORTRANGE(""https://docs.google.com/spreadsheets/d/1XL5vhW3sbDhbH9Cz0tuDiY8C3ctxq1tqvaCgkFb8cCA/edit?usp=sharing"",""นครราชสีมา!M479"")"),560476.35)</f>
        <v>560476.35</v>
      </c>
      <c r="O584" s="170">
        <f t="shared" ca="1" si="124"/>
        <v>48.967005940940069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IFERROR(__xludf.DUMMYFUNCTION("IMPORTRANGE(""https://docs.google.com/spreadsheets/d/1XL5vhW3sbDhbH9Cz0tuDiY8C3ctxq1tqvaCgkFb8cCA/edit?usp=sharing"",""นครราชสีมา!M480"")"),0)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IFERROR(__xludf.DUMMYFUNCTION("IMPORTRANGE(""https://docs.google.com/spreadsheets/d/1XL5vhW3sbDhbH9Cz0tuDiY8C3ctxq1tqvaCgkFb8cCA/edit?usp=sharing"",""นครราชสีมา!M481"")"),0)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IFERROR(__xludf.DUMMYFUNCTION("IMPORTRANGE(""https://docs.google.com/spreadsheets/d/1XL5vhW3sbDhbH9Cz0tuDiY8C3ctxq1tqvaCgkFb8cCA/edit?usp=sharing"",""นครราชสีมา!M482"")"),126866.92)</f>
        <v>126866.92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IFERROR(__xludf.DUMMYFUNCTION("IMPORTRANGE(""https://docs.google.com/spreadsheets/d/1XL5vhW3sbDhbH9Cz0tuDiY8C3ctxq1tqvaCgkFb8cCA/edit?usp=sharing"",""นครราชสีมา!M483"")"),433609.43)</f>
        <v>433609.43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IFERROR(__xludf.DUMMYFUNCTION("IMPORTRANGE(""https://docs.google.com/spreadsheets/d/1XL5vhW3sbDhbH9Cz0tuDiY8C3ctxq1tqvaCgkFb8cCA/edit?usp=sharing"",""นครราชสีมา!I484"")"),2000)</f>
        <v>2000</v>
      </c>
      <c r="J589" s="189">
        <f ca="1">IFERROR(__xludf.DUMMYFUNCTION("IMPORTRANGE(""https://docs.google.com/spreadsheets/d/1XL5vhW3sbDhbH9Cz0tuDiY8C3ctxq1tqvaCgkFb8cCA/edit?usp=sharing"",""นครราชสีมา!J484"")"),746)</f>
        <v>746</v>
      </c>
      <c r="K589" s="165">
        <f t="shared" ref="K589:K596" ca="1" si="125">IF(I589&gt;0,J589*100/I589,0)</f>
        <v>37.299999999999997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9">
        <f ca="1">IFERROR(__xludf.DUMMYFUNCTION("IMPORTRANGE(""https://docs.google.com/spreadsheets/d/1XL5vhW3sbDhbH9Cz0tuDiY8C3ctxq1tqvaCgkFb8cCA/edit?usp=sharing"",""นครราชสีมา!J485"")"),443.46)</f>
        <v>443.46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IFERROR(__xludf.DUMMYFUNCTION("IMPORTRANGE(""https://docs.google.com/spreadsheets/d/1XL5vhW3sbDhbH9Cz0tuDiY8C3ctxq1tqvaCgkFb8cCA/edit?usp=sharing"",""นครราชสีมา!I486"")"),2000)</f>
        <v>2000</v>
      </c>
      <c r="J591" s="189">
        <f ca="1">IFERROR(__xludf.DUMMYFUNCTION("IMPORTRANGE(""https://docs.google.com/spreadsheets/d/1XL5vhW3sbDhbH9Cz0tuDiY8C3ctxq1tqvaCgkFb8cCA/edit?usp=sharing"",""นครราชสีมา!J486"")"),622)</f>
        <v>622</v>
      </c>
      <c r="K591" s="165">
        <f t="shared" ca="1" si="125"/>
        <v>31.1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9">
        <f ca="1">IFERROR(__xludf.DUMMYFUNCTION("IMPORTRANGE(""https://docs.google.com/spreadsheets/d/1XL5vhW3sbDhbH9Cz0tuDiY8C3ctxq1tqvaCgkFb8cCA/edit?usp=sharing"",""นครราชสีมา!J487"")"),364.6)</f>
        <v>364.6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IFERROR(__xludf.DUMMYFUNCTION("IMPORTRANGE(""https://docs.google.com/spreadsheets/d/1XL5vhW3sbDhbH9Cz0tuDiY8C3ctxq1tqvaCgkFb8cCA/edit?usp=sharing"",""นครราชสีมา!I488"")"),2000)</f>
        <v>2000</v>
      </c>
      <c r="J593" s="189">
        <f ca="1">IFERROR(__xludf.DUMMYFUNCTION("IMPORTRANGE(""https://docs.google.com/spreadsheets/d/1XL5vhW3sbDhbH9Cz0tuDiY8C3ctxq1tqvaCgkFb8cCA/edit?usp=sharing"",""นครราชสีมา!J488"")"),0)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9">
        <f ca="1">IFERROR(__xludf.DUMMYFUNCTION("IMPORTRANGE(""https://docs.google.com/spreadsheets/d/1XL5vhW3sbDhbH9Cz0tuDiY8C3ctxq1tqvaCgkFb8cCA/edit?usp=sharing"",""นครราชสีมา!J489"")"),0)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IFERROR(__xludf.DUMMYFUNCTION("IMPORTRANGE(""https://docs.google.com/spreadsheets/d/1XL5vhW3sbDhbH9Cz0tuDiY8C3ctxq1tqvaCgkFb8cCA/edit?usp=sharing"",""นครราชสีมา!I490"")"),2000)</f>
        <v>2000</v>
      </c>
      <c r="J595" s="189">
        <f ca="1">IFERROR(__xludf.DUMMYFUNCTION("IMPORTRANGE(""https://docs.google.com/spreadsheets/d/1XL5vhW3sbDhbH9Cz0tuDiY8C3ctxq1tqvaCgkFb8cCA/edit?usp=sharing"",""นครราชสีมา!J490"")"),37)</f>
        <v>37</v>
      </c>
      <c r="K595" s="165">
        <f t="shared" ca="1" si="125"/>
        <v>1.85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IFERROR(__xludf.DUMMYFUNCTION("IMPORTRANGE(""https://docs.google.com/spreadsheets/d/1XL5vhW3sbDhbH9Cz0tuDiY8C3ctxq1tqvaCgkFb8cCA/edit?usp=sharing"",""นครราชสีมา!J491"")"),26.11)</f>
        <v>26.11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7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IFERROR(__xludf.DUMMYFUNCTION("IMPORTRANGE(""https://docs.google.com/spreadsheets/d/1XL5vhW3sbDhbH9Cz0tuDiY8C3ctxq1tqvaCgkFb8cCA/edit?usp=sharing"",""นครราชสีมา!L493"")"),0)</f>
        <v>0</v>
      </c>
      <c r="M598" s="166"/>
      <c r="N598" s="170">
        <f ca="1">IFERROR(__xludf.DUMMYFUNCTION("IMPORTRANGE(""https://docs.google.com/spreadsheets/d/1XL5vhW3sbDhbH9Cz0tuDiY8C3ctxq1tqvaCgkFb8cCA/edit?usp=sharing"",""นครราชสีมา!M493"")"),0)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IFERROR(__xludf.DUMMYFUNCTION("IMPORTRANGE(""https://docs.google.com/spreadsheets/d/1XL5vhW3sbDhbH9Cz0tuDiY8C3ctxq1tqvaCgkFb8cCA/edit?usp=sharing"",""นครราชสีมา!L494"")"),30900)</f>
        <v>30900</v>
      </c>
      <c r="M599" s="167"/>
      <c r="N599" s="170">
        <f ca="1">IFERROR(__xludf.DUMMYFUNCTION("IMPORTRANGE(""https://docs.google.com/spreadsheets/d/1XL5vhW3sbDhbH9Cz0tuDiY8C3ctxq1tqvaCgkFb8cCA/edit?usp=sharing"",""นครราชสีมา!M494"")"),3400)</f>
        <v>3400</v>
      </c>
      <c r="O599" s="170">
        <f t="shared" ca="1" si="126"/>
        <v>11.003236245954692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IFERROR(__xludf.DUMMYFUNCTION("IMPORTRANGE(""https://docs.google.com/spreadsheets/d/1XL5vhW3sbDhbH9Cz0tuDiY8C3ctxq1tqvaCgkFb8cCA/edit?usp=sharing"",""นครราชสีมา!L495"")"),0)</f>
        <v>0</v>
      </c>
      <c r="M600" s="170"/>
      <c r="N600" s="170">
        <f ca="1">IFERROR(__xludf.DUMMYFUNCTION("IMPORTRANGE(""https://docs.google.com/spreadsheets/d/1XL5vhW3sbDhbH9Cz0tuDiY8C3ctxq1tqvaCgkFb8cCA/edit?usp=sharing"",""นครราชสีมา!M495"")"),0)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IFERROR(__xludf.DUMMYFUNCTION("IMPORTRANGE(""https://docs.google.com/spreadsheets/d/1XL5vhW3sbDhbH9Cz0tuDiY8C3ctxq1tqvaCgkFb8cCA/edit?usp=sharing"",""นครราชสีมา!L496"")"),30900)</f>
        <v>30900</v>
      </c>
      <c r="M601" s="170"/>
      <c r="N601" s="170">
        <f ca="1">IFERROR(__xludf.DUMMYFUNCTION("IMPORTRANGE(""https://docs.google.com/spreadsheets/d/1XL5vhW3sbDhbH9Cz0tuDiY8C3ctxq1tqvaCgkFb8cCA/edit?usp=sharing"",""นครราชสีมา!M496"")"),3400)</f>
        <v>3400</v>
      </c>
      <c r="O601" s="170">
        <f t="shared" ca="1" si="126"/>
        <v>11.003236245954692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IFERROR(__xludf.DUMMYFUNCTION("IMPORTRANGE(""https://docs.google.com/spreadsheets/d/1XL5vhW3sbDhbH9Cz0tuDiY8C3ctxq1tqvaCgkFb8cCA/edit?usp=sharing"",""นครราชสีมา!M497"")"),0)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IFERROR(__xludf.DUMMYFUNCTION("IMPORTRANGE(""https://docs.google.com/spreadsheets/d/1XL5vhW3sbDhbH9Cz0tuDiY8C3ctxq1tqvaCgkFb8cCA/edit?usp=sharing"",""นครราชสีมา!M498"")"),0)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IFERROR(__xludf.DUMMYFUNCTION("IMPORTRANGE(""https://docs.google.com/spreadsheets/d/1XL5vhW3sbDhbH9Cz0tuDiY8C3ctxq1tqvaCgkFb8cCA/edit?usp=sharing"",""นครราชสีมา!J502"")"),0)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IFERROR(__xludf.DUMMYFUNCTION("IMPORTRANGE(""https://docs.google.com/spreadsheets/d/1XL5vhW3sbDhbH9Cz0tuDiY8C3ctxq1tqvaCgkFb8cCA/edit?usp=sharing"",""นครราชสีมา!J503"")"),1)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25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IFERROR(__xludf.DUMMYFUNCTION("IMPORTRANGE(""https://docs.google.com/spreadsheets/d/1XL5vhW3sbDhbH9Cz0tuDiY8C3ctxq1tqvaCgkFb8cCA/edit?usp=sharing"",""นครราชสีมา!I506"")"),500)</f>
        <v>500</v>
      </c>
      <c r="J611" s="164">
        <f ca="1">IFERROR(__xludf.DUMMYFUNCTION("IMPORTRANGE(""https://docs.google.com/spreadsheets/d/1XL5vhW3sbDhbH9Cz0tuDiY8C3ctxq1tqvaCgkFb8cCA/edit?usp=sharing"",""นครราชสีมา!J506"")"),0)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IFERROR(__xludf.DUMMYFUNCTION("IMPORTRANGE(""https://docs.google.com/spreadsheets/d/1XL5vhW3sbDhbH9Cz0tuDiY8C3ctxq1tqvaCgkFb8cCA/edit?usp=sharing"",""นครราชสีมา!I507"")"),0)</f>
        <v>0</v>
      </c>
      <c r="J612" s="199">
        <f ca="1">IFERROR(__xludf.DUMMYFUNCTION("IMPORTRANGE(""https://docs.google.com/spreadsheets/d/1XL5vhW3sbDhbH9Cz0tuDiY8C3ctxq1tqvaCgkFb8cCA/edit?usp=sharing"",""นครราชสีมา!J507"")"),753)</f>
        <v>753</v>
      </c>
      <c r="K612" s="165">
        <f t="shared" ca="1" si="127"/>
        <v>150.6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IFERROR(__xludf.DUMMYFUNCTION("IMPORTRANGE(""https://docs.google.com/spreadsheets/d/1XL5vhW3sbDhbH9Cz0tuDiY8C3ctxq1tqvaCgkFb8cCA/edit?usp=sharing"",""นครราชสีมา!I508"")"),0)</f>
        <v>0</v>
      </c>
      <c r="J613" s="199">
        <f ca="1">IFERROR(__xludf.DUMMYFUNCTION("IMPORTRANGE(""https://docs.google.com/spreadsheets/d/1XL5vhW3sbDhbH9Cz0tuDiY8C3ctxq1tqvaCgkFb8cCA/edit?usp=sharing"",""นครราชสีมา!J508"")"),603)</f>
        <v>603</v>
      </c>
      <c r="K613" s="165">
        <f t="shared" ca="1" si="127"/>
        <v>120.6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IFERROR(__xludf.DUMMYFUNCTION("IMPORTRANGE(""https://docs.google.com/spreadsheets/d/1XL5vhW3sbDhbH9Cz0tuDiY8C3ctxq1tqvaCgkFb8cCA/edit?usp=sharing"",""นครราชสีมา!I509"")"),0)</f>
        <v>0</v>
      </c>
      <c r="J614" s="199">
        <f ca="1">IFERROR(__xludf.DUMMYFUNCTION("IMPORTRANGE(""https://docs.google.com/spreadsheets/d/1XL5vhW3sbDhbH9Cz0tuDiY8C3ctxq1tqvaCgkFb8cCA/edit?usp=sharing"",""นครราชสีมา!J509"")"),753)</f>
        <v>753</v>
      </c>
      <c r="K614" s="165">
        <f t="shared" ca="1" si="127"/>
        <v>150.6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IFERROR(__xludf.DUMMYFUNCTION("IMPORTRANGE(""https://docs.google.com/spreadsheets/d/1XL5vhW3sbDhbH9Cz0tuDiY8C3ctxq1tqvaCgkFb8cCA/edit?usp=sharing"",""นครราชสีมา!I510"")"),0)</f>
        <v>0</v>
      </c>
      <c r="J615" s="199">
        <f ca="1">IFERROR(__xludf.DUMMYFUNCTION("IMPORTRANGE(""https://docs.google.com/spreadsheets/d/1XL5vhW3sbDhbH9Cz0tuDiY8C3ctxq1tqvaCgkFb8cCA/edit?usp=sharing"",""นครราชสีมา!J510"")"),0)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IFERROR(__xludf.DUMMYFUNCTION("IMPORTRANGE(""https://docs.google.com/spreadsheets/d/1XL5vhW3sbDhbH9Cz0tuDiY8C3ctxq1tqvaCgkFb8cCA/edit?usp=sharing"",""นครราชสีมา!I511"")"),0)</f>
        <v>0</v>
      </c>
      <c r="J616" s="199">
        <f ca="1">IFERROR(__xludf.DUMMYFUNCTION("IMPORTRANGE(""https://docs.google.com/spreadsheets/d/1XL5vhW3sbDhbH9Cz0tuDiY8C3ctxq1tqvaCgkFb8cCA/edit?usp=sharing"",""นครราชสีมา!J511"")"),0)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IFERROR(__xludf.DUMMYFUNCTION("IMPORTRANGE(""https://docs.google.com/spreadsheets/d/1XL5vhW3sbDhbH9Cz0tuDiY8C3ctxq1tqvaCgkFb8cCA/edit?usp=sharing"",""นครราชสีมา!I512"")"),0)</f>
        <v>0</v>
      </c>
      <c r="J617" s="189">
        <f ca="1">IFERROR(__xludf.DUMMYFUNCTION("IMPORTRANGE(""https://docs.google.com/spreadsheets/d/1XL5vhW3sbDhbH9Cz0tuDiY8C3ctxq1tqvaCgkFb8cCA/edit?usp=sharing"",""นครราชสีมา!J512"")"),0)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IFERROR(__xludf.DUMMYFUNCTION("IMPORTRANGE(""https://docs.google.com/spreadsheets/d/1XL5vhW3sbDhbH9Cz0tuDiY8C3ctxq1tqvaCgkFb8cCA/edit?usp=sharing"",""นครราชสีมา!I513"")"),0)</f>
        <v>0</v>
      </c>
      <c r="J618" s="190">
        <f ca="1">IFERROR(__xludf.DUMMYFUNCTION("IMPORTRANGE(""https://docs.google.com/spreadsheets/d/1XL5vhW3sbDhbH9Cz0tuDiY8C3ctxq1tqvaCgkFb8cCA/edit?usp=sharing"",""นครราชสีมา!J513"")"),0)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IFERROR(__xludf.DUMMYFUNCTION("IMPORTRANGE(""https://docs.google.com/spreadsheets/d/1XL5vhW3sbDhbH9Cz0tuDiY8C3ctxq1tqvaCgkFb8cCA/edit?usp=sharing"",""นครราชสีมา!I514"")"),0)</f>
        <v>0</v>
      </c>
      <c r="J619" s="190">
        <f ca="1">IFERROR(__xludf.DUMMYFUNCTION("IMPORTRANGE(""https://docs.google.com/spreadsheets/d/1XL5vhW3sbDhbH9Cz0tuDiY8C3ctxq1tqvaCgkFb8cCA/edit?usp=sharing"",""นครราชสีมา!J514"")"),0)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IFERROR(__xludf.DUMMYFUNCTION("IMPORTRANGE(""https://docs.google.com/spreadsheets/d/1XL5vhW3sbDhbH9Cz0tuDiY8C3ctxq1tqvaCgkFb8cCA/edit?usp=sharing"",""นครราชสีมา!I515"")"),0)</f>
        <v>0</v>
      </c>
      <c r="J620" s="204">
        <f ca="1">IFERROR(__xludf.DUMMYFUNCTION("IMPORTRANGE(""https://docs.google.com/spreadsheets/d/1XL5vhW3sbDhbH9Cz0tuDiY8C3ctxq1tqvaCgkFb8cCA/edit?usp=sharing"",""นครราชสีมา!J515"")"),0)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IFERROR(__xludf.DUMMYFUNCTION("IMPORTRANGE(""https://docs.google.com/spreadsheets/d/1XL5vhW3sbDhbH9Cz0tuDiY8C3ctxq1tqvaCgkFb8cCA/edit?usp=sharing"",""นครราชสีมา!I516"")"),0)</f>
        <v>0</v>
      </c>
      <c r="J621" s="204">
        <f ca="1">IFERROR(__xludf.DUMMYFUNCTION("IMPORTRANGE(""https://docs.google.com/spreadsheets/d/1XL5vhW3sbDhbH9Cz0tuDiY8C3ctxq1tqvaCgkFb8cCA/edit?usp=sharing"",""นครราชสีมา!J516"")"),0)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IFERROR(__xludf.DUMMYFUNCTION("IMPORTRANGE(""https://docs.google.com/spreadsheets/d/1XL5vhW3sbDhbH9Cz0tuDiY8C3ctxq1tqvaCgkFb8cCA/edit?usp=sharing"",""นครราชสีมา!I517"")"),0)</f>
        <v>0</v>
      </c>
      <c r="J622" s="190">
        <f ca="1">IFERROR(__xludf.DUMMYFUNCTION("IMPORTRANGE(""https://docs.google.com/spreadsheets/d/1XL5vhW3sbDhbH9Cz0tuDiY8C3ctxq1tqvaCgkFb8cCA/edit?usp=sharing"",""นครราชสีมา!J517"")"),0)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IFERROR(__xludf.DUMMYFUNCTION("IMPORTRANGE(""https://docs.google.com/spreadsheets/d/1XL5vhW3sbDhbH9Cz0tuDiY8C3ctxq1tqvaCgkFb8cCA/edit?usp=sharing"",""นครราชสีมา!I518"")"),0)</f>
        <v>0</v>
      </c>
      <c r="J623" s="190">
        <f ca="1">IFERROR(__xludf.DUMMYFUNCTION("IMPORTRANGE(""https://docs.google.com/spreadsheets/d/1XL5vhW3sbDhbH9Cz0tuDiY8C3ctxq1tqvaCgkFb8cCA/edit?usp=sharing"",""นครราชสีมา!J518"")"),0)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IFERROR(__xludf.DUMMYFUNCTION("IMPORTRANGE(""https://docs.google.com/spreadsheets/d/1XL5vhW3sbDhbH9Cz0tuDiY8C3ctxq1tqvaCgkFb8cCA/edit?usp=sharing"",""นครราชสีมา!I519"")"),0)</f>
        <v>0</v>
      </c>
      <c r="J624" s="189">
        <f ca="1">IFERROR(__xludf.DUMMYFUNCTION("IMPORTRANGE(""https://docs.google.com/spreadsheets/d/1XL5vhW3sbDhbH9Cz0tuDiY8C3ctxq1tqvaCgkFb8cCA/edit?usp=sharing"",""นครราชสีมา!J519"")"),0)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IFERROR(__xludf.DUMMYFUNCTION("IMPORTRANGE(""https://docs.google.com/spreadsheets/d/1XL5vhW3sbDhbH9Cz0tuDiY8C3ctxq1tqvaCgkFb8cCA/edit?usp=sharing"",""นครราชสีมา!I520"")"),0)</f>
        <v>0</v>
      </c>
      <c r="J625" s="190">
        <f ca="1">IFERROR(__xludf.DUMMYFUNCTION("IMPORTRANGE(""https://docs.google.com/spreadsheets/d/1XL5vhW3sbDhbH9Cz0tuDiY8C3ctxq1tqvaCgkFb8cCA/edit?usp=sharing"",""นครราชสีมา!J520"")"),0)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IFERROR(__xludf.DUMMYFUNCTION("IMPORTRANGE(""https://docs.google.com/spreadsheets/d/1XL5vhW3sbDhbH9Cz0tuDiY8C3ctxq1tqvaCgkFb8cCA/edit?usp=sharing"",""นครราชสีมา!I521"")"),0)</f>
        <v>0</v>
      </c>
      <c r="J626" s="190">
        <f ca="1">IFERROR(__xludf.DUMMYFUNCTION("IMPORTRANGE(""https://docs.google.com/spreadsheets/d/1XL5vhW3sbDhbH9Cz0tuDiY8C3ctxq1tqvaCgkFb8cCA/edit?usp=sharing"",""นครราชสีมา!J521"")"),0)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1">
        <f ca="1">IFERROR(__xludf.DUMMYFUNCTION("IMPORTRANGE(""https://docs.google.com/spreadsheets/d/1XL5vhW3sbDhbH9Cz0tuDiY8C3ctxq1tqvaCgkFb8cCA/edit?usp=sharing"",""นครราชสีมา!J523"")"),1724000)</f>
        <v>1724000</v>
      </c>
      <c r="K628" s="342">
        <f t="shared" ref="K628:K635" ca="1" si="129">IF(I628&gt;0,J628*100/I628,0)</f>
        <v>11.493333333333334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IFERROR(__xludf.DUMMYFUNCTION("IMPORTRANGE(""https://docs.google.com/spreadsheets/d/1XL5vhW3sbDhbH9Cz0tuDiY8C3ctxq1tqvaCgkFb8cCA/edit?usp=sharing"",""นครราชสีมา!I524"")"),393)</f>
        <v>393</v>
      </c>
      <c r="J629" s="341">
        <f ca="1">IFERROR(__xludf.DUMMYFUNCTION("IMPORTRANGE(""https://docs.google.com/spreadsheets/d/1XL5vhW3sbDhbH9Cz0tuDiY8C3ctxq1tqvaCgkFb8cCA/edit?usp=sharing"",""นครราชสีมา!J524"")"),45)</f>
        <v>45</v>
      </c>
      <c r="K629" s="342">
        <f t="shared" ca="1" si="129"/>
        <v>11.450381679389313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1">
        <f ca="1">IFERROR(__xludf.DUMMYFUNCTION("IMPORTRANGE(""https://docs.google.com/spreadsheets/d/1XL5vhW3sbDhbH9Cz0tuDiY8C3ctxq1tqvaCgkFb8cCA/edit?usp=sharing"",""นครราชสีมา!J525"")"),749539.62)</f>
        <v>749539.62</v>
      </c>
      <c r="K630" s="342">
        <f t="shared" ca="1" si="129"/>
        <v>8.8851831697845256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IFERROR(__xludf.DUMMYFUNCTION("IMPORTRANGE(""https://docs.google.com/spreadsheets/d/1XL5vhW3sbDhbH9Cz0tuDiY8C3ctxq1tqvaCgkFb8cCA/edit?usp=sharing"",""นครราชสีมา!I526"")"),267)</f>
        <v>267</v>
      </c>
      <c r="J631" s="341">
        <f ca="1">IFERROR(__xludf.DUMMYFUNCTION("IMPORTRANGE(""https://docs.google.com/spreadsheets/d/1XL5vhW3sbDhbH9Cz0tuDiY8C3ctxq1tqvaCgkFb8cCA/edit?usp=sharing"",""นครราชสีมา!J526"")"),108)</f>
        <v>108</v>
      </c>
      <c r="K631" s="342">
        <f t="shared" ca="1" si="129"/>
        <v>40.449438202247194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1">
        <f ca="1">IFERROR(__xludf.DUMMYFUNCTION("IMPORTRANGE(""https://docs.google.com/spreadsheets/d/1XL5vhW3sbDhbH9Cz0tuDiY8C3ctxq1tqvaCgkFb8cCA/edit?usp=sharing"",""นครราชสีมา!J527"")"),266823.01)</f>
        <v>266823.01</v>
      </c>
      <c r="K632" s="342">
        <f t="shared" ca="1" si="129"/>
        <v>1342.9895247797444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IFERROR(__xludf.DUMMYFUNCTION("IMPORTRANGE(""https://docs.google.com/spreadsheets/d/1XL5vhW3sbDhbH9Cz0tuDiY8C3ctxq1tqvaCgkFb8cCA/edit?usp=sharing"",""นครราชสีมา!I528"")"),105)</f>
        <v>105</v>
      </c>
      <c r="J633" s="341">
        <f ca="1">IFERROR(__xludf.DUMMYFUNCTION("IMPORTRANGE(""https://docs.google.com/spreadsheets/d/1XL5vhW3sbDhbH9Cz0tuDiY8C3ctxq1tqvaCgkFb8cCA/edit?usp=sharing"",""นครราชสีมา!J528"")"),17)</f>
        <v>17</v>
      </c>
      <c r="K633" s="342">
        <f t="shared" ca="1" si="129"/>
        <v>16.19047619047619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1">
        <f ca="1">IFERROR(__xludf.DUMMYFUNCTION("IMPORTRANGE(""https://docs.google.com/spreadsheets/d/1XL5vhW3sbDhbH9Cz0tuDiY8C3ctxq1tqvaCgkFb8cCA/edit?usp=sharing"",""นครราชสีมา!J529"")"),536000)</f>
        <v>536000</v>
      </c>
      <c r="K634" s="342">
        <f t="shared" ca="1" si="129"/>
        <v>10.72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IFERROR(__xludf.DUMMYFUNCTION("IMPORTRANGE(""https://docs.google.com/spreadsheets/d/1XL5vhW3sbDhbH9Cz0tuDiY8C3ctxq1tqvaCgkFb8cCA/edit?usp=sharing"",""นครราชสีมา!I530"")"),125)</f>
        <v>125</v>
      </c>
      <c r="J635" s="504">
        <f ca="1">IFERROR(__xludf.DUMMYFUNCTION("IMPORTRANGE(""https://docs.google.com/spreadsheets/d/1XL5vhW3sbDhbH9Cz0tuDiY8C3ctxq1tqvaCgkFb8cCA/edit?usp=sharing"",""นครราชสีมา!J530"")"),15)</f>
        <v>15</v>
      </c>
      <c r="K635" s="486">
        <f t="shared" ca="1" si="129"/>
        <v>12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248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7573455</v>
      </c>
      <c r="M8" s="23">
        <f t="shared" ca="1" si="0"/>
        <v>3198331</v>
      </c>
      <c r="N8" s="23">
        <f t="shared" ca="1" si="0"/>
        <v>2983506</v>
      </c>
      <c r="O8" s="22">
        <f t="shared" ref="O8:O16" ca="1" si="1">IF(L8&gt;0,N8*100/L8,0)</f>
        <v>39.394252689162343</v>
      </c>
      <c r="P8" s="22">
        <f t="shared" ref="P8:P16" ca="1" si="2">IF(M8&gt;0,N8*100/M8,0)</f>
        <v>93.283215527098349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7573455</v>
      </c>
      <c r="M10" s="30">
        <f t="shared" ca="1" si="4"/>
        <v>3198331</v>
      </c>
      <c r="N10" s="30">
        <f t="shared" ca="1" si="4"/>
        <v>2983506</v>
      </c>
      <c r="O10" s="29">
        <f t="shared" ca="1" si="1"/>
        <v>39.394252689162343</v>
      </c>
      <c r="P10" s="29">
        <f t="shared" ca="1" si="2"/>
        <v>93.283215527098349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6307655</v>
      </c>
      <c r="M12" s="38">
        <f t="shared" ca="1" si="6"/>
        <v>1932531</v>
      </c>
      <c r="N12" s="38">
        <f t="shared" ca="1" si="6"/>
        <v>1820007</v>
      </c>
      <c r="O12" s="38">
        <f t="shared" ca="1" si="1"/>
        <v>28.853940172694923</v>
      </c>
      <c r="P12" s="38">
        <f t="shared" ca="1" si="2"/>
        <v>94.177376714784913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4006255</v>
      </c>
      <c r="M14" s="38">
        <f t="shared" si="8"/>
        <v>0</v>
      </c>
      <c r="N14" s="38">
        <f t="shared" ca="1" si="8"/>
        <v>314136</v>
      </c>
      <c r="O14" s="38">
        <f t="shared" ca="1" si="1"/>
        <v>7.8411384197960441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1265800</v>
      </c>
      <c r="M16" s="38">
        <f t="shared" ca="1" si="10"/>
        <v>1265800</v>
      </c>
      <c r="N16" s="38">
        <f t="shared" ca="1" si="10"/>
        <v>1163499</v>
      </c>
      <c r="O16" s="49">
        <f t="shared" ca="1" si="1"/>
        <v>91.918075525359455</v>
      </c>
      <c r="P16" s="49">
        <f t="shared" ca="1" si="2"/>
        <v>91.918075525359455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4785010</v>
      </c>
      <c r="M18" s="23">
        <f t="shared" ca="1" si="11"/>
        <v>3198331</v>
      </c>
      <c r="N18" s="23">
        <f t="shared" ca="1" si="11"/>
        <v>2669370</v>
      </c>
      <c r="O18" s="22">
        <f t="shared" ref="O18:O20" ca="1" si="12">IF(L18&gt;0,N18*100/L18,0)</f>
        <v>55.786090311201022</v>
      </c>
      <c r="P18" s="22">
        <f t="shared" ref="P18:P26" ca="1" si="13">IF(M18&gt;0,N18*100/M18,0)</f>
        <v>83.461342806607576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4785010</v>
      </c>
      <c r="M20" s="30">
        <f t="shared" ca="1" si="15"/>
        <v>3198331</v>
      </c>
      <c r="N20" s="30">
        <f t="shared" ca="1" si="15"/>
        <v>2669370</v>
      </c>
      <c r="O20" s="29">
        <f t="shared" ca="1" si="12"/>
        <v>55.786090311201022</v>
      </c>
      <c r="P20" s="29">
        <f t="shared" ca="1" si="13"/>
        <v>83.461342806607576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3519210</v>
      </c>
      <c r="M22" s="41">
        <f t="shared" ca="1" si="18"/>
        <v>1932531</v>
      </c>
      <c r="N22" s="38">
        <f t="shared" ca="1" si="18"/>
        <v>1505871</v>
      </c>
      <c r="O22" s="38">
        <f t="shared" ca="1" si="17"/>
        <v>42.790029580502441</v>
      </c>
      <c r="P22" s="38">
        <f t="shared" ca="1" si="13"/>
        <v>77.922217030412455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1217810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1265800</v>
      </c>
      <c r="M26" s="49">
        <f t="shared" ca="1" si="22"/>
        <v>1265800</v>
      </c>
      <c r="N26" s="49">
        <f t="shared" ca="1" si="22"/>
        <v>1163499</v>
      </c>
      <c r="O26" s="49">
        <f t="shared" ca="1" si="17"/>
        <v>91.918075525359455</v>
      </c>
      <c r="P26" s="49">
        <f t="shared" ca="1" si="13"/>
        <v>91.918075525359455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2788445</v>
      </c>
      <c r="M28" s="23">
        <f t="shared" si="23"/>
        <v>0</v>
      </c>
      <c r="N28" s="23">
        <f t="shared" ca="1" si="23"/>
        <v>314136</v>
      </c>
      <c r="O28" s="22">
        <f t="shared" ref="O28:O30" ca="1" si="24">IF(L28&gt;0,N28*100/L28,0)</f>
        <v>11.265633713413749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2788445</v>
      </c>
      <c r="M30" s="30">
        <f t="shared" si="27"/>
        <v>0</v>
      </c>
      <c r="N30" s="30">
        <f t="shared" ca="1" si="27"/>
        <v>314136</v>
      </c>
      <c r="O30" s="29">
        <f t="shared" ca="1" si="24"/>
        <v>11.265633713413749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2788445</v>
      </c>
      <c r="M32" s="38">
        <f t="shared" si="30"/>
        <v>0</v>
      </c>
      <c r="N32" s="38">
        <f t="shared" ca="1" si="30"/>
        <v>314136</v>
      </c>
      <c r="O32" s="38">
        <f t="shared" ca="1" si="29"/>
        <v>11.265633713413749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2788445</v>
      </c>
      <c r="M34" s="38">
        <f t="shared" si="32"/>
        <v>0</v>
      </c>
      <c r="N34" s="38">
        <f t="shared" ca="1" si="32"/>
        <v>314136</v>
      </c>
      <c r="O34" s="38">
        <f t="shared" ca="1" si="29"/>
        <v>11.265633713413749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4785010</v>
      </c>
      <c r="M37" s="54">
        <f t="shared" ca="1" si="33"/>
        <v>3198331</v>
      </c>
      <c r="N37" s="54">
        <f t="shared" ca="1" si="33"/>
        <v>2669370</v>
      </c>
      <c r="O37" s="55">
        <f t="shared" ca="1" si="29"/>
        <v>55.786090311201022</v>
      </c>
      <c r="P37" s="55">
        <f t="shared" ca="1" si="25"/>
        <v>83.461342806607576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2109900</v>
      </c>
      <c r="M41" s="78">
        <f t="shared" ca="1" si="34"/>
        <v>1595300</v>
      </c>
      <c r="N41" s="78">
        <f t="shared" ca="1" si="34"/>
        <v>1361737</v>
      </c>
      <c r="O41" s="77">
        <f t="shared" ref="O41:O43" ca="1" si="35">IF(L41&gt;0,N41*100/L41,0)</f>
        <v>64.540357362908196</v>
      </c>
      <c r="P41" s="77">
        <f t="shared" ref="P41:P43" ca="1" si="36">IF(M41&gt;0,N41*100/M41,0)</f>
        <v>85.359305459788132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2109900</v>
      </c>
      <c r="M43" s="78">
        <f t="shared" ca="1" si="38"/>
        <v>1595300</v>
      </c>
      <c r="N43" s="78">
        <f t="shared" ca="1" si="38"/>
        <v>1361737</v>
      </c>
      <c r="O43" s="77">
        <f t="shared" ca="1" si="35"/>
        <v>64.540357362908196</v>
      </c>
      <c r="P43" s="77">
        <f t="shared" ca="1" si="36"/>
        <v>85.359305459788132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533">
        <f ca="1">IFERROR(__xludf.DUMMYFUNCTION("IMPORTRANGE(""https://docs.google.com/spreadsheets/d/1Yj_ptqi66GCucihVvJfMjLAmec39IyEx_6qawtMGysU/edit?usp=sharing"",""สบก!Q43"")"),514500)</f>
        <v>514500</v>
      </c>
      <c r="N45" s="533">
        <f ca="1">IFERROR(__xludf.DUMMYFUNCTION("IMPORTRANGE(""https://docs.google.com/spreadsheets/d/1Yj_ptqi66GCucihVvJfMjLAmec39IyEx_6qawtMGysU/edit?usp=sharing"",""สบก!R43"")"),382738)</f>
        <v>382738</v>
      </c>
      <c r="O45" s="534">
        <f ca="1">IF(L45&gt;0,N45*100/L45,0)</f>
        <v>37.191526576620348</v>
      </c>
      <c r="P45" s="534">
        <f ca="1">IF(M45&gt;0,N45*100/M45,0)</f>
        <v>74.390281827016523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IFERROR(__xludf.DUMMYFUNCTION("IMPORTRANGE(""https://docs.google.com/spreadsheets/d/1Yj_ptqi66GCucihVvJfMjLAmec39IyEx_6qawtMGysU/edit?usp=sharing"",""สบก!M43"")"),1029100)</f>
        <v>1029100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IFERROR(__xludf.DUMMYFUNCTION("IMPORTRANGE(""https://docs.google.com/spreadsheets/d/1Yj_ptqi66GCucihVvJfMjLAmec39IyEx_6qawtMGysU/edit?usp=sharing"",""สบก!N43"")"),0)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IFERROR(__xludf.DUMMYFUNCTION("IMPORTRANGE(""https://docs.google.com/spreadsheets/d/1Yj_ptqi66GCucihVvJfMjLAmec39IyEx_6qawtMGysU/edit?usp=sharing"",""สบก!O43"")"),1080800)</f>
        <v>1080800</v>
      </c>
      <c r="M49" s="536">
        <f ca="1">L49</f>
        <v>1080800</v>
      </c>
      <c r="N49" s="533">
        <f ca="1">IFERROR(__xludf.DUMMYFUNCTION("IMPORTRANGE(""https://docs.google.com/spreadsheets/d/1Yj_ptqi66GCucihVvJfMjLAmec39IyEx_6qawtMGysU/edit?usp=sharing"",""สบก!S43"")"),978999)</f>
        <v>978999</v>
      </c>
      <c r="O49" s="536">
        <f ca="1">IF(L49&gt;0,N49*100/L49,0)</f>
        <v>90.5809585492228</v>
      </c>
      <c r="P49" s="536">
        <f ca="1">IF(M49&gt;0,N49*100/M49,0)</f>
        <v>90.5809585492228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385941</v>
      </c>
      <c r="N53" s="121">
        <f t="shared" ca="1" si="39"/>
        <v>285795</v>
      </c>
      <c r="O53" s="120">
        <f t="shared" ref="O53:O55" ca="1" si="40">IF(L53&gt;0,N53*100/L53,0)</f>
        <v>37.505905511811022</v>
      </c>
      <c r="P53" s="120">
        <f t="shared" ref="P53:P55" ca="1" si="41">IF(M53&gt;0,N53*100/M53,0)</f>
        <v>74.051474189059988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385941</v>
      </c>
      <c r="N55" s="121">
        <f t="shared" ca="1" si="43"/>
        <v>285795</v>
      </c>
      <c r="O55" s="120">
        <f t="shared" ca="1" si="40"/>
        <v>37.505905511811022</v>
      </c>
      <c r="P55" s="120">
        <f t="shared" ca="1" si="41"/>
        <v>74.051474189059988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533">
        <f ca="1">IFERROR(__xludf.DUMMYFUNCTION("IMPORTRANGE(""https://docs.google.com/spreadsheets/d/1Yj_ptqi66GCucihVvJfMjLAmec39IyEx_6qawtMGysU/edit?usp=sharing"",""สบก!Z43"")"),385941)</f>
        <v>385941</v>
      </c>
      <c r="N57" s="533">
        <f ca="1">IFERROR(__xludf.DUMMYFUNCTION("IMPORTRANGE(""https://docs.google.com/spreadsheets/d/1Yj_ptqi66GCucihVvJfMjLAmec39IyEx_6qawtMGysU/edit?usp=sharing"",""สบก!AA43"")"),285795)</f>
        <v>285795</v>
      </c>
      <c r="O57" s="534">
        <f ca="1">IF(L57&gt;0,N57*100/L57,0)</f>
        <v>37.505905511811022</v>
      </c>
      <c r="P57" s="534">
        <f ca="1">IF(M57&gt;0,N57*100/M57,0)</f>
        <v>74.051474189059988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IFERROR(__xludf.DUMMYFUNCTION("IMPORTRANGE(""https://docs.google.com/spreadsheets/d/1Yj_ptqi66GCucihVvJfMjLAmec39IyEx_6qawtMGysU/edit?usp=sharing"",""สบก!V43"")"),762000)</f>
        <v>762000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IFERROR(__xludf.DUMMYFUNCTION("IMPORTRANGE(""https://docs.google.com/spreadsheets/d/1Yj_ptqi66GCucihVvJfMjLAmec39IyEx_6qawtMGysU/edit?usp=sharing"",""สบก!W43"")"),0)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IFERROR(__xludf.DUMMYFUNCTION("IMPORTRANGE(""https://docs.google.com/spreadsheets/d/1Yj_ptqi66GCucihVvJfMjLAmec39IyEx_6qawtMGysU/edit?usp=sharing"",""สบก!X43"")"),0)</f>
        <v>0</v>
      </c>
      <c r="M61" s="536"/>
      <c r="N61" s="533">
        <f ca="1">IFERROR(__xludf.DUMMYFUNCTION("IMPORTRANGE(""https://docs.google.com/spreadsheets/d/1Yj_ptqi66GCucihVvJfMjLAmec39IyEx_6qawtMGysU/edit?usp=sharing"",""สบก!AB43"")"),0)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537">
        <f ca="1">IFERROR(__xludf.DUMMYFUNCTION("IMPORTRANGE(""https://docs.google.com/spreadsheets/d/1Yj_ptqi66GCucihVvJfMjLAmec39IyEx_6qawtMGysU/edit?usp=sharing"",""สบก!AI43"")"),0)</f>
        <v>0</v>
      </c>
      <c r="N70" s="538">
        <f ca="1">IFERROR(__xludf.DUMMYFUNCTION("IMPORTRANGE(""https://docs.google.com/spreadsheets/d/1Yj_ptqi66GCucihVvJfMjLAmec39IyEx_6qawtMGysU/edit?usp=sharing"",""สบก!AJ43"")"),0)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IFERROR(__xludf.DUMMYFUNCTION("IMPORTRANGE(""https://docs.google.com/spreadsheets/d/1Yj_ptqi66GCucihVvJfMjLAmec39IyEx_6qawtMGysU/edit?usp=sharing"",""สบก!AE43"")"),0)</f>
        <v>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IFERROR(__xludf.DUMMYFUNCTION("IMPORTRANGE(""https://docs.google.com/spreadsheets/d/1Yj_ptqi66GCucihVvJfMjLAmec39IyEx_6qawtMGysU/edit?usp=sharing"",""สบก!AF43"")"),0)</f>
        <v>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IFERROR(__xludf.DUMMYFUNCTION("IMPORTRANGE(""https://docs.google.com/spreadsheets/d/1Yj_ptqi66GCucihVvJfMjLAmec39IyEx_6qawtMGysU/edit?usp=sharing"",""สบก!AG43"")"),0)</f>
        <v>0</v>
      </c>
      <c r="M74" s="536"/>
      <c r="N74" s="533">
        <f ca="1">IFERROR(__xludf.DUMMYFUNCTION("IMPORTRANGE(""https://docs.google.com/spreadsheets/d/1Yj_ptqi66GCucihVvJfMjLAmec39IyEx_6qawtMGysU/edit?usp=sharing"",""สบก!AK43"")"),0)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IFERROR(__xludf.DUMMYFUNCTION("IMPORTRANGE(""https://docs.google.com/spreadsheets/d/1XL5vhW3sbDhbH9Cz0tuDiY8C3ctxq1tqvaCgkFb8cCA/edit?usp=sharing"",""บึงกาฬ!J16"")"),0)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IFERROR(__xludf.DUMMYFUNCTION("IMPORTRANGE(""https://docs.google.com/spreadsheets/d/1XL5vhW3sbDhbH9Cz0tuDiY8C3ctxq1tqvaCgkFb8cCA/edit?usp=sharing"",""บึงกาฬ!J17"")"),0)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IFERROR(__xludf.DUMMYFUNCTION("IMPORTRANGE(""https://docs.google.com/spreadsheets/d/1XL5vhW3sbDhbH9Cz0tuDiY8C3ctxq1tqvaCgkFb8cCA/edit?usp=sharing"",""บึงกาฬ!J18"")"),0)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IFERROR(__xludf.DUMMYFUNCTION("IMPORTRANGE(""https://docs.google.com/spreadsheets/d/1XL5vhW3sbDhbH9Cz0tuDiY8C3ctxq1tqvaCgkFb8cCA/edit?usp=sharing"",""บึงกาฬ!J19"")"),0)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IFERROR(__xludf.DUMMYFUNCTION("IMPORTRANGE(""https://docs.google.com/spreadsheets/d/1XL5vhW3sbDhbH9Cz0tuDiY8C3ctxq1tqvaCgkFb8cCA/edit?usp=sharing"",""บึงกาฬ!I20"")"),0)</f>
        <v>0</v>
      </c>
      <c r="J80" s="202">
        <f ca="1">IFERROR(__xludf.DUMMYFUNCTION("IMPORTRANGE(""https://docs.google.com/spreadsheets/d/1XL5vhW3sbDhbH9Cz0tuDiY8C3ctxq1tqvaCgkFb8cCA/edit?usp=sharing"",""บึงกาฬ!J20"")"),0)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IFERROR(__xludf.DUMMYFUNCTION("IMPORTRANGE(""https://docs.google.com/spreadsheets/d/1XL5vhW3sbDhbH9Cz0tuDiY8C3ctxq1tqvaCgkFb8cCA/edit?usp=sharing"",""บึงกาฬ!I21"")"),0)</f>
        <v>0</v>
      </c>
      <c r="J81" s="202">
        <f ca="1">IFERROR(__xludf.DUMMYFUNCTION("IMPORTRANGE(""https://docs.google.com/spreadsheets/d/1XL5vhW3sbDhbH9Cz0tuDiY8C3ctxq1tqvaCgkFb8cCA/edit?usp=sharing"",""บึงกาฬ!J21"")"),0)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IFERROR(__xludf.DUMMYFUNCTION("IMPORTRANGE(""https://docs.google.com/spreadsheets/d/1XL5vhW3sbDhbH9Cz0tuDiY8C3ctxq1tqvaCgkFb8cCA/edit?usp=sharing"",""บึงกาฬ!I22"")"),0)</f>
        <v>0</v>
      </c>
      <c r="J82" s="205">
        <f ca="1">IFERROR(__xludf.DUMMYFUNCTION("IMPORTRANGE(""https://docs.google.com/spreadsheets/d/1XL5vhW3sbDhbH9Cz0tuDiY8C3ctxq1tqvaCgkFb8cCA/edit?usp=sharing"",""บึงกาฬ!J22"")"),0)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IFERROR(__xludf.DUMMYFUNCTION("IMPORTRANGE(""https://docs.google.com/spreadsheets/d/1XL5vhW3sbDhbH9Cz0tuDiY8C3ctxq1tqvaCgkFb8cCA/edit?usp=sharing"",""บึงกาฬ!I23"")"),0)</f>
        <v>0</v>
      </c>
      <c r="J83" s="205">
        <f ca="1">IFERROR(__xludf.DUMMYFUNCTION("IMPORTRANGE(""https://docs.google.com/spreadsheets/d/1XL5vhW3sbDhbH9Cz0tuDiY8C3ctxq1tqvaCgkFb8cCA/edit?usp=sharing"",""บึงกาฬ!J23"")"),0)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IFERROR(__xludf.DUMMYFUNCTION("IMPORTRANGE(""https://docs.google.com/spreadsheets/d/1XL5vhW3sbDhbH9Cz0tuDiY8C3ctxq1tqvaCgkFb8cCA/edit?usp=sharing"",""บึงกาฬ!I24"")"),0)</f>
        <v>0</v>
      </c>
      <c r="J84" s="190">
        <f ca="1">IFERROR(__xludf.DUMMYFUNCTION("IMPORTRANGE(""https://docs.google.com/spreadsheets/d/1XL5vhW3sbDhbH9Cz0tuDiY8C3ctxq1tqvaCgkFb8cCA/edit?usp=sharing"",""บึงกาฬ!J24"")"),0)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IFERROR(__xludf.DUMMYFUNCTION("IMPORTRANGE(""https://docs.google.com/spreadsheets/d/1XL5vhW3sbDhbH9Cz0tuDiY8C3ctxq1tqvaCgkFb8cCA/edit?usp=sharing"",""บึงกาฬ!I25"")"),0)</f>
        <v>0</v>
      </c>
      <c r="J85" s="190">
        <f ca="1">IFERROR(__xludf.DUMMYFUNCTION("IMPORTRANGE(""https://docs.google.com/spreadsheets/d/1XL5vhW3sbDhbH9Cz0tuDiY8C3ctxq1tqvaCgkFb8cCA/edit?usp=sharing"",""บึงกาฬ!J25"")"),0)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IFERROR(__xludf.DUMMYFUNCTION("IMPORTRANGE(""https://docs.google.com/spreadsheets/d/1XL5vhW3sbDhbH9Cz0tuDiY8C3ctxq1tqvaCgkFb8cCA/edit?usp=sharing"",""บึงกาฬ!I26"")"),0)</f>
        <v>0</v>
      </c>
      <c r="J86" s="205">
        <f ca="1">IFERROR(__xludf.DUMMYFUNCTION("IMPORTRANGE(""https://docs.google.com/spreadsheets/d/1XL5vhW3sbDhbH9Cz0tuDiY8C3ctxq1tqvaCgkFb8cCA/edit?usp=sharing"",""บึงกาฬ!J26"")"),0)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IFERROR(__xludf.DUMMYFUNCTION("IMPORTRANGE(""https://docs.google.com/spreadsheets/d/1XL5vhW3sbDhbH9Cz0tuDiY8C3ctxq1tqvaCgkFb8cCA/edit?usp=sharing"",""บึงกาฬ!I27"")"),0)</f>
        <v>0</v>
      </c>
      <c r="J87" s="205">
        <f ca="1">IFERROR(__xludf.DUMMYFUNCTION("IMPORTRANGE(""https://docs.google.com/spreadsheets/d/1XL5vhW3sbDhbH9Cz0tuDiY8C3ctxq1tqvaCgkFb8cCA/edit?usp=sharing"",""บึงกาฬ!J27"")"),0)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IFERROR(__xludf.DUMMYFUNCTION("IMPORTRANGE(""https://docs.google.com/spreadsheets/d/1XL5vhW3sbDhbH9Cz0tuDiY8C3ctxq1tqvaCgkFb8cCA/edit?usp=sharing"",""บึงกาฬ!I28"")"),0)</f>
        <v>0</v>
      </c>
      <c r="J88" s="205">
        <f ca="1">IFERROR(__xludf.DUMMYFUNCTION("IMPORTRANGE(""https://docs.google.com/spreadsheets/d/1XL5vhW3sbDhbH9Cz0tuDiY8C3ctxq1tqvaCgkFb8cCA/edit?usp=sharing"",""บึงกาฬ!J28"")"),0)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IFERROR(__xludf.DUMMYFUNCTION("IMPORTRANGE(""https://docs.google.com/spreadsheets/d/1XL5vhW3sbDhbH9Cz0tuDiY8C3ctxq1tqvaCgkFb8cCA/edit?usp=sharing"",""บึงกาฬ!J29"")"),0)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119940</v>
      </c>
      <c r="O94" s="151">
        <f t="shared" ref="O94:O96" ca="1" si="53">IF(L94&gt;0,N94*100/L94,0)</f>
        <v>55.916083916083913</v>
      </c>
      <c r="P94" s="151">
        <f t="shared" ref="P94:P96" ca="1" si="54">IF(M94&gt;0,N94*100/M94,0)</f>
        <v>74.436790169428406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119940</v>
      </c>
      <c r="O96" s="156">
        <f t="shared" ca="1" si="53"/>
        <v>55.916083916083913</v>
      </c>
      <c r="P96" s="156">
        <f t="shared" ca="1" si="54"/>
        <v>74.436790169428406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IFERROR(__xludf.DUMMYFUNCTION("IMPORTRANGE(""https://docs.google.com/spreadsheets/d/1Yj_ptqi66GCucihVvJfMjLAmec39IyEx_6qawtMGysU/edit?usp=sharing"",""สบก!AR43"")"),68730)</f>
        <v>68730</v>
      </c>
      <c r="N98" s="538">
        <f ca="1">IFERROR(__xludf.DUMMYFUNCTION("IMPORTRANGE(""https://docs.google.com/spreadsheets/d/1Yj_ptqi66GCucihVvJfMjLAmec39IyEx_6qawtMGysU/edit?usp=sharing"",""สบก!AS43"")"),27540)</f>
        <v>27540</v>
      </c>
      <c r="O98" s="170">
        <f ca="1">IF(L98&gt;0,N98*100/L98,0)</f>
        <v>22.555282555282556</v>
      </c>
      <c r="P98" s="170">
        <f ca="1">IF(M98&gt;0,N98*100/M98,0)</f>
        <v>40.069838498472279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IFERROR(__xludf.DUMMYFUNCTION("IMPORTRANGE(""https://docs.google.com/spreadsheets/d/1Yj_ptqi66GCucihVvJfMjLAmec39IyEx_6qawtMGysU/edit?usp=sharing"",""สบก!AN43"")"),0)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IFERROR(__xludf.DUMMYFUNCTION("IMPORTRANGE(""https://docs.google.com/spreadsheets/d/1Yj_ptqi66GCucihVvJfMjLAmec39IyEx_6qawtMGysU/edit?usp=sharing"",""สบก!AO43"")"),122100)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IFERROR(__xludf.DUMMYFUNCTION("IMPORTRANGE(""https://docs.google.com/spreadsheets/d/1Yj_ptqi66GCucihVvJfMjLAmec39IyEx_6qawtMGysU/edit?usp=sharing"",""สบก!AP43"")"),92400)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IFERROR(__xludf.DUMMYFUNCTION("IMPORTRANGE(""https://docs.google.com/spreadsheets/d/1Yj_ptqi66GCucihVvJfMjLAmec39IyEx_6qawtMGysU/edit?usp=sharing"",""สบก!AT43"")"),92400)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IFERROR(__xludf.DUMMYFUNCTION("IMPORTRANGE(""https://docs.google.com/spreadsheets/d/1XL5vhW3sbDhbH9Cz0tuDiY8C3ctxq1tqvaCgkFb8cCA/edit?usp=sharing"",""บึงกาฬ!I43"")"),1)</f>
        <v>1</v>
      </c>
      <c r="J108" s="205">
        <f ca="1">IFERROR(__xludf.DUMMYFUNCTION("IMPORTRANGE(""https://docs.google.com/spreadsheets/d/1XL5vhW3sbDhbH9Cz0tuDiY8C3ctxq1tqvaCgkFb8cCA/edit?usp=sharing"",""บึงกาฬ!J43"")"),0)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IFERROR(__xludf.DUMMYFUNCTION("IMPORTRANGE(""https://docs.google.com/spreadsheets/d/1XL5vhW3sbDhbH9Cz0tuDiY8C3ctxq1tqvaCgkFb8cCA/edit?usp=sharing"",""บึงกาฬ!I44"")"),4)</f>
        <v>4</v>
      </c>
      <c r="J109" s="205">
        <f ca="1">IFERROR(__xludf.DUMMYFUNCTION("IMPORTRANGE(""https://docs.google.com/spreadsheets/d/1XL5vhW3sbDhbH9Cz0tuDiY8C3ctxq1tqvaCgkFb8cCA/edit?usp=sharing"",""บึงกาฬ!J44"")"),0)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IFERROR(__xludf.DUMMYFUNCTION("IMPORTRANGE(""https://docs.google.com/spreadsheets/d/1XL5vhW3sbDhbH9Cz0tuDiY8C3ctxq1tqvaCgkFb8cCA/edit?usp=sharing"",""บึงกาฬ!I45"")"),4)</f>
        <v>4</v>
      </c>
      <c r="J110" s="205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IFERROR(__xludf.DUMMYFUNCTION("IMPORTRANGE(""https://docs.google.com/spreadsheets/d/1XL5vhW3sbDhbH9Cz0tuDiY8C3ctxq1tqvaCgkFb8cCA/edit?usp=sharing"",""บึงกาฬ!I46"")"),4)</f>
        <v>4</v>
      </c>
      <c r="J111" s="205">
        <f ca="1">IFERROR(__xludf.DUMMYFUNCTION("IMPORTRANGE(""https://docs.google.com/spreadsheets/d/1XL5vhW3sbDhbH9Cz0tuDiY8C3ctxq1tqvaCgkFb8cCA/edit?usp=sharing"",""บึงกาฬ!J46"")"),0)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IFERROR(__xludf.DUMMYFUNCTION("IMPORTRANGE(""https://docs.google.com/spreadsheets/d/1XL5vhW3sbDhbH9Cz0tuDiY8C3ctxq1tqvaCgkFb8cCA/edit?usp=sharing"",""บึงกาฬ!I47"")"),4)</f>
        <v>4</v>
      </c>
      <c r="J112" s="205">
        <f ca="1">IFERROR(__xludf.DUMMYFUNCTION("IMPORTRANGE(""https://docs.google.com/spreadsheets/d/1XL5vhW3sbDhbH9Cz0tuDiY8C3ctxq1tqvaCgkFb8cCA/edit?usp=sharing"",""บึงกาฬ!J47"")"),0)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IFERROR(__xludf.DUMMYFUNCTION("IMPORTRANGE(""https://docs.google.com/spreadsheets/d/1XL5vhW3sbDhbH9Cz0tuDiY8C3ctxq1tqvaCgkFb8cCA/edit?usp=sharing"",""บึงกาฬ!I48"")"),1)</f>
        <v>1</v>
      </c>
      <c r="J113" s="205">
        <f ca="1">IFERROR(__xludf.DUMMYFUNCTION("IMPORTRANGE(""https://docs.google.com/spreadsheets/d/1XL5vhW3sbDhbH9Cz0tuDiY8C3ctxq1tqvaCgkFb8cCA/edit?usp=sharing"",""บึงกาฬ!J48"")"),0)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IFERROR(__xludf.DUMMYFUNCTION("IMPORTRANGE(""https://docs.google.com/spreadsheets/d/1Yj_ptqi66GCucihVvJfMjLAmec39IyEx_6qawtMGysU/edit?usp=sharing"",""สบก!BA43"")"),0)</f>
        <v>0</v>
      </c>
      <c r="N122" s="538">
        <f ca="1">IFERROR(__xludf.DUMMYFUNCTION("IMPORTRANGE(""https://docs.google.com/spreadsheets/d/1Yj_ptqi66GCucihVvJfMjLAmec39IyEx_6qawtMGysU/edit?usp=sharing"",""สบก!BB43"")"),0)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IFERROR(__xludf.DUMMYFUNCTION("IMPORTRANGE(""https://docs.google.com/spreadsheets/d/1Yj_ptqi66GCucihVvJfMjLAmec39IyEx_6qawtMGysU/edit?usp=sharing"",""สบก!AW43"")"),0)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IFERROR(__xludf.DUMMYFUNCTION("IMPORTRANGE(""https://docs.google.com/spreadsheets/d/1Yj_ptqi66GCucihVvJfMjLAmec39IyEx_6qawtMGysU/edit?usp=sharing"",""สบก!AX43"")"),0)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IFERROR(__xludf.DUMMYFUNCTION("IMPORTRANGE(""https://docs.google.com/spreadsheets/d/1Yj_ptqi66GCucihVvJfMjLAmec39IyEx_6qawtMGysU/edit?usp=sharing"",""สบก!AY43"")"),0)</f>
        <v>0</v>
      </c>
      <c r="M126" s="536"/>
      <c r="N126" s="533">
        <f ca="1">IFERROR(__xludf.DUMMYFUNCTION("IMPORTRANGE(""https://docs.google.com/spreadsheets/d/1Yj_ptqi66GCucihVvJfMjLAmec39IyEx_6qawtMGysU/edit?usp=sharing"",""สบก!BC43"")"),0)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249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IFERROR(__xludf.DUMMYFUNCTION("IMPORTRANGE(""https://docs.google.com/spreadsheets/d/1XL5vhW3sbDhbH9Cz0tuDiY8C3ctxq1tqvaCgkFb8cCA/edit?usp=sharing"",""บึงกาฬ!I62"")"),0)</f>
        <v>0</v>
      </c>
      <c r="J132" s="205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IFERROR(__xludf.DUMMYFUNCTION("IMPORTRANGE(""https://docs.google.com/spreadsheets/d/1XL5vhW3sbDhbH9Cz0tuDiY8C3ctxq1tqvaCgkFb8cCA/edit?usp=sharing"",""บึงกาฬ!I63"")"),0)</f>
        <v>0</v>
      </c>
      <c r="J133" s="205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176500</v>
      </c>
      <c r="M140" s="152">
        <f t="shared" ca="1" si="64"/>
        <v>141750</v>
      </c>
      <c r="N140" s="152">
        <f t="shared" ca="1" si="64"/>
        <v>125100</v>
      </c>
      <c r="O140" s="151">
        <f t="shared" ref="O140:O142" ca="1" si="65">IF(L140&gt;0,N140*100/L140,0)</f>
        <v>70.87818696883852</v>
      </c>
      <c r="P140" s="151">
        <f t="shared" ref="P140:P142" ca="1" si="66">IF(M140&gt;0,N140*100/M140,0)</f>
        <v>88.253968253968253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176500</v>
      </c>
      <c r="M142" s="157">
        <f t="shared" ca="1" si="68"/>
        <v>141750</v>
      </c>
      <c r="N142" s="157">
        <f t="shared" ca="1" si="68"/>
        <v>125100</v>
      </c>
      <c r="O142" s="156">
        <f t="shared" ca="1" si="65"/>
        <v>70.87818696883852</v>
      </c>
      <c r="P142" s="156">
        <f t="shared" ca="1" si="66"/>
        <v>88.253968253968253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176500</v>
      </c>
      <c r="M144" s="537">
        <f ca="1">IFERROR(__xludf.DUMMYFUNCTION("IMPORTRANGE(""https://docs.google.com/spreadsheets/d/1Yj_ptqi66GCucihVvJfMjLAmec39IyEx_6qawtMGysU/edit?usp=sharing"",""สบก!BJ43"")"),141750)</f>
        <v>141750</v>
      </c>
      <c r="N144" s="538">
        <f ca="1">IFERROR(__xludf.DUMMYFUNCTION("IMPORTRANGE(""https://docs.google.com/spreadsheets/d/1Yj_ptqi66GCucihVvJfMjLAmec39IyEx_6qawtMGysU/edit?usp=sharing"",""สบก!BK43"")"),125100)</f>
        <v>125100</v>
      </c>
      <c r="O144" s="170">
        <f ca="1">IF(L144&gt;0,N144*100/L144,0)</f>
        <v>70.87818696883852</v>
      </c>
      <c r="P144" s="170">
        <f ca="1">IF(M144&gt;0,N144*100/M144,0)</f>
        <v>88.253968253968253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IFERROR(__xludf.DUMMYFUNCTION("IMPORTRANGE(""https://docs.google.com/spreadsheets/d/1Yj_ptqi66GCucihVvJfMjLAmec39IyEx_6qawtMGysU/edit?usp=sharing"",""สบก!BF43"")"),0)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IFERROR(__xludf.DUMMYFUNCTION("IMPORTRANGE(""https://docs.google.com/spreadsheets/d/1Yj_ptqi66GCucihVvJfMjLAmec39IyEx_6qawtMGysU/edit?usp=sharing"",""สบก!BG43"")"),176500)</f>
        <v>176500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IFERROR(__xludf.DUMMYFUNCTION("IMPORTRANGE(""https://docs.google.com/spreadsheets/d/1Yj_ptqi66GCucihVvJfMjLAmec39IyEx_6qawtMGysU/edit?usp=sharing"",""สบก!BH43"")"),0)</f>
        <v>0</v>
      </c>
      <c r="M148" s="536"/>
      <c r="N148" s="533">
        <f ca="1">IFERROR(__xludf.DUMMYFUNCTION("IMPORTRANGE(""https://docs.google.com/spreadsheets/d/1Yj_ptqi66GCucihVvJfMjLAmec39IyEx_6qawtMGysU/edit?usp=sharing"",""สบก!BL43"")"),0)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IFERROR(__xludf.DUMMYFUNCTION("IMPORTRANGE(""https://docs.google.com/spreadsheets/d/1XL5vhW3sbDhbH9Cz0tuDiY8C3ctxq1tqvaCgkFb8cCA/edit?usp=sharing"",""บึงกาฬ!J79"")"),0)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IFERROR(__xludf.DUMMYFUNCTION("IMPORTRANGE(""https://docs.google.com/spreadsheets/d/1XL5vhW3sbDhbH9Cz0tuDiY8C3ctxq1tqvaCgkFb8cCA/edit?usp=sharing"",""บึงกาฬ!J80"")"),1)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IFERROR(__xludf.DUMMYFUNCTION("IMPORTRANGE(""https://docs.google.com/spreadsheets/d/1XL5vhW3sbDhbH9Cz0tuDiY8C3ctxq1tqvaCgkFb8cCA/edit?usp=sharing"",""บึงกาฬ!J81"")"),1)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IFERROR(__xludf.DUMMYFUNCTION("IMPORTRANGE(""https://docs.google.com/spreadsheets/d/1XL5vhW3sbDhbH9Cz0tuDiY8C3ctxq1tqvaCgkFb8cCA/edit?usp=sharing"",""บึงกาฬ!J82"")"),1)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IFERROR(__xludf.DUMMYFUNCTION("IMPORTRANGE(""https://docs.google.com/spreadsheets/d/1XL5vhW3sbDhbH9Cz0tuDiY8C3ctxq1tqvaCgkFb8cCA/edit?usp=sharing"",""บึงกาฬ!I83"")"),4)</f>
        <v>4</v>
      </c>
      <c r="J158" s="190">
        <f ca="1">IFERROR(__xludf.DUMMYFUNCTION("IMPORTRANGE(""https://docs.google.com/spreadsheets/d/1XL5vhW3sbDhbH9Cz0tuDiY8C3ctxq1tqvaCgkFb8cCA/edit?usp=sharing"",""บึงกาฬ!J83"")"),2)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IFERROR(__xludf.DUMMYFUNCTION("IMPORTRANGE(""https://docs.google.com/spreadsheets/d/1XL5vhW3sbDhbH9Cz0tuDiY8C3ctxq1tqvaCgkFb8cCA/edit?usp=sharing"",""บึงกาฬ!J84"")"),22)</f>
        <v>22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IFERROR(__xludf.DUMMYFUNCTION("IMPORTRANGE(""https://docs.google.com/spreadsheets/d/1XL5vhW3sbDhbH9Cz0tuDiY8C3ctxq1tqvaCgkFb8cCA/edit?usp=sharing"",""บึงกาฬ!J85"")"),22)</f>
        <v>22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IFERROR(__xludf.DUMMYFUNCTION("IMPORTRANGE(""https://docs.google.com/spreadsheets/d/1XL5vhW3sbDhbH9Cz0tuDiY8C3ctxq1tqvaCgkFb8cCA/edit?usp=sharing"",""บึงกาฬ!J86"")"),0)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IFERROR(__xludf.DUMMYFUNCTION("IMPORTRANGE(""https://docs.google.com/spreadsheets/d/1XL5vhW3sbDhbH9Cz0tuDiY8C3ctxq1tqvaCgkFb8cCA/edit?usp=sharing"",""บึงกาฬ!J87"")"),0)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IFERROR(__xludf.DUMMYFUNCTION("IMPORTRANGE(""https://docs.google.com/spreadsheets/d/1XL5vhW3sbDhbH9Cz0tuDiY8C3ctxq1tqvaCgkFb8cCA/edit?usp=sharing"",""บึงกาฬ!I89"")"),5)</f>
        <v>5</v>
      </c>
      <c r="J164" s="284">
        <f ca="1">IFERROR(__xludf.DUMMYFUNCTION("IMPORTRANGE(""https://docs.google.com/spreadsheets/d/1XL5vhW3sbDhbH9Cz0tuDiY8C3ctxq1tqvaCgkFb8cCA/edit?usp=sharing"",""บึงกาฬ!J89"")"),4)</f>
        <v>4</v>
      </c>
      <c r="K164" s="285">
        <f ca="1">IF(I164&gt;0,J164*100/I164,0)</f>
        <v>80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IFERROR(__xludf.DUMMYFUNCTION("IMPORTRANGE(""https://docs.google.com/spreadsheets/d/1XL5vhW3sbDhbH9Cz0tuDiY8C3ctxq1tqvaCgkFb8cCA/edit?usp=sharing"",""บึงกาฬ!J94"")"),0)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IFERROR(__xludf.DUMMYFUNCTION("IMPORTRANGE(""https://docs.google.com/spreadsheets/d/1XL5vhW3sbDhbH9Cz0tuDiY8C3ctxq1tqvaCgkFb8cCA/edit?usp=sharing"",""บึงกาฬ!J95"")"),1)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IFERROR(__xludf.DUMMYFUNCTION("IMPORTRANGE(""https://docs.google.com/spreadsheets/d/1XL5vhW3sbDhbH9Cz0tuDiY8C3ctxq1tqvaCgkFb8cCA/edit?usp=sharing"",""บึงกาฬ!J96"")"),1)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IFERROR(__xludf.DUMMYFUNCTION("IMPORTRANGE(""https://docs.google.com/spreadsheets/d/1XL5vhW3sbDhbH9Cz0tuDiY8C3ctxq1tqvaCgkFb8cCA/edit?usp=sharing"",""บึงกาฬ!J97"")"),1)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IFERROR(__xludf.DUMMYFUNCTION("IMPORTRANGE(""https://docs.google.com/spreadsheets/d/1XL5vhW3sbDhbH9Cz0tuDiY8C3ctxq1tqvaCgkFb8cCA/edit?usp=sharing"",""บึงกาฬ!I98"")"),5)</f>
        <v>5</v>
      </c>
      <c r="J173" s="190">
        <f ca="1">IFERROR(__xludf.DUMMYFUNCTION("IMPORTRANGE(""https://docs.google.com/spreadsheets/d/1XL5vhW3sbDhbH9Cz0tuDiY8C3ctxq1tqvaCgkFb8cCA/edit?usp=sharing"",""บึงกาฬ!J98"")"),4)</f>
        <v>4</v>
      </c>
      <c r="K173" s="165">
        <f ca="1">IF(I173&gt;0,J173*100/I173,0)</f>
        <v>80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IFERROR(__xludf.DUMMYFUNCTION("IMPORTRANGE(""https://docs.google.com/spreadsheets/d/1XL5vhW3sbDhbH9Cz0tuDiY8C3ctxq1tqvaCgkFb8cCA/edit?usp=sharing"",""บึงกาฬ!J99"")"),0)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IFERROR(__xludf.DUMMYFUNCTION("IMPORTRANGE(""https://docs.google.com/spreadsheets/d/1XL5vhW3sbDhbH9Cz0tuDiY8C3ctxq1tqvaCgkFb8cCA/edit?usp=sharing"",""บึงกาฬ!J100"")"),0)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IFERROR(__xludf.DUMMYFUNCTION("IMPORTRANGE(""https://docs.google.com/spreadsheets/d/1XL5vhW3sbDhbH9Cz0tuDiY8C3ctxq1tqvaCgkFb8cCA/edit?usp=sharing"",""บึงกาฬ!I101"")"),6)</f>
        <v>6</v>
      </c>
      <c r="J176" s="284">
        <f ca="1">IFERROR(__xludf.DUMMYFUNCTION("IMPORTRANGE(""https://docs.google.com/spreadsheets/d/1XL5vhW3sbDhbH9Cz0tuDiY8C3ctxq1tqvaCgkFb8cCA/edit?usp=sharing"",""บึงกาฬ!J101"")"),6)</f>
        <v>6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IFERROR(__xludf.DUMMYFUNCTION("IMPORTRANGE(""https://docs.google.com/spreadsheets/d/1XL5vhW3sbDhbH9Cz0tuDiY8C3ctxq1tqvaCgkFb8cCA/edit?usp=sharing"",""บึงกาฬ!I110"")"),6)</f>
        <v>6</v>
      </c>
      <c r="J185" s="205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IFERROR(__xludf.DUMMYFUNCTION("IMPORTRANGE(""https://docs.google.com/spreadsheets/d/1XL5vhW3sbDhbH9Cz0tuDiY8C3ctxq1tqvaCgkFb8cCA/edit?usp=sharing"",""บึงกาฬ!I111"")"),6)</f>
        <v>6</v>
      </c>
      <c r="J186" s="205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IFERROR(__xludf.DUMMYFUNCTION("IMPORTRANGE(""https://docs.google.com/spreadsheets/d/1XL5vhW3sbDhbH9Cz0tuDiY8C3ctxq1tqvaCgkFb8cCA/edit?usp=sharing"",""บึงกาฬ!I114"")"),20000)</f>
        <v>20000</v>
      </c>
      <c r="J189" s="284">
        <f ca="1">IFERROR(__xludf.DUMMYFUNCTION("IMPORTRANGE(""https://docs.google.com/spreadsheets/d/1XL5vhW3sbDhbH9Cz0tuDiY8C3ctxq1tqvaCgkFb8cCA/edit?usp=sharing"",""บึงกาฬ!J114"")"),0)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IFERROR(__xludf.DUMMYFUNCTION("IMPORTRANGE(""https://docs.google.com/spreadsheets/d/1XL5vhW3sbDhbH9Cz0tuDiY8C3ctxq1tqvaCgkFb8cCA/edit?usp=sharing"",""บึงกาฬ!J119"")"),0)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IFERROR(__xludf.DUMMYFUNCTION("IMPORTRANGE(""https://docs.google.com/spreadsheets/d/1XL5vhW3sbDhbH9Cz0tuDiY8C3ctxq1tqvaCgkFb8cCA/edit?usp=sharing"",""บึงกาฬ!J120"")"),1)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IFERROR(__xludf.DUMMYFUNCTION("IMPORTRANGE(""https://docs.google.com/spreadsheets/d/1XL5vhW3sbDhbH9Cz0tuDiY8C3ctxq1tqvaCgkFb8cCA/edit?usp=sharing"",""บึงกาฬ!J121"")"),1)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IFERROR(__xludf.DUMMYFUNCTION("IMPORTRANGE(""https://docs.google.com/spreadsheets/d/1XL5vhW3sbDhbH9Cz0tuDiY8C3ctxq1tqvaCgkFb8cCA/edit?usp=sharing"",""บึงกาฬ!J122"")"),1)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IFERROR(__xludf.DUMMYFUNCTION("IMPORTRANGE(""https://docs.google.com/spreadsheets/d/1XL5vhW3sbDhbH9Cz0tuDiY8C3ctxq1tqvaCgkFb8cCA/edit?usp=sharing"",""บึงกาฬ!I124"")"),20000)</f>
        <v>20000</v>
      </c>
      <c r="J199" s="190">
        <f ca="1">IFERROR(__xludf.DUMMYFUNCTION("IMPORTRANGE(""https://docs.google.com/spreadsheets/d/1XL5vhW3sbDhbH9Cz0tuDiY8C3ctxq1tqvaCgkFb8cCA/edit?usp=sharing"",""บึงกาฬ!J124"")"),0)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IFERROR(__xludf.DUMMYFUNCTION("IMPORTRANGE(""https://docs.google.com/spreadsheets/d/1XL5vhW3sbDhbH9Cz0tuDiY8C3ctxq1tqvaCgkFb8cCA/edit?usp=sharing"",""บึงกาฬ!I125"")"),20000)</f>
        <v>20000</v>
      </c>
      <c r="J200" s="190">
        <f ca="1">IFERROR(__xludf.DUMMYFUNCTION("IMPORTRANGE(""https://docs.google.com/spreadsheets/d/1XL5vhW3sbDhbH9Cz0tuDiY8C3ctxq1tqvaCgkFb8cCA/edit?usp=sharing"",""บึงกาฬ!J125"")"),0)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IFERROR(__xludf.DUMMYFUNCTION("IMPORTRANGE(""https://docs.google.com/spreadsheets/d/1XL5vhW3sbDhbH9Cz0tuDiY8C3ctxq1tqvaCgkFb8cCA/edit?usp=sharing"",""บึงกาฬ!I126"")"),0)</f>
        <v>0</v>
      </c>
      <c r="J201" s="190">
        <f ca="1">IFERROR(__xludf.DUMMYFUNCTION("IMPORTRANGE(""https://docs.google.com/spreadsheets/d/1XL5vhW3sbDhbH9Cz0tuDiY8C3ctxq1tqvaCgkFb8cCA/edit?usp=sharing"",""บึงกาฬ!J126"")"),0)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IFERROR(__xludf.DUMMYFUNCTION("IMPORTRANGE(""https://docs.google.com/spreadsheets/d/1XL5vhW3sbDhbH9Cz0tuDiY8C3ctxq1tqvaCgkFb8cCA/edit?usp=sharing"",""บึงกาฬ!J127"")"),0)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IFERROR(__xludf.DUMMYFUNCTION("IMPORTRANGE(""https://docs.google.com/spreadsheets/d/1XL5vhW3sbDhbH9Cz0tuDiY8C3ctxq1tqvaCgkFb8cCA/edit?usp=sharing"",""บึงกาฬ!J128"")"),0)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IFERROR(__xludf.DUMMYFUNCTION("IMPORTRANGE(""https://docs.google.com/spreadsheets/d/1XL5vhW3sbDhbH9Cz0tuDiY8C3ctxq1tqvaCgkFb8cCA/edit?usp=sharing"",""บึงกาฬ!I129"")"),0)</f>
        <v>0</v>
      </c>
      <c r="J204" s="284">
        <f ca="1">IFERROR(__xludf.DUMMYFUNCTION("IMPORTRANGE(""https://docs.google.com/spreadsheets/d/1XL5vhW3sbDhbH9Cz0tuDiY8C3ctxq1tqvaCgkFb8cCA/edit?usp=sharing"",""บึงกาฬ!J129"")"),0)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IFERROR(__xludf.DUMMYFUNCTION("IMPORTRANGE(""https://docs.google.com/spreadsheets/d/1XL5vhW3sbDhbH9Cz0tuDiY8C3ctxq1tqvaCgkFb8cCA/edit?usp=sharing"",""บึงกาฬ!I138"")"),0)</f>
        <v>0</v>
      </c>
      <c r="J213" s="205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IFERROR(__xludf.DUMMYFUNCTION("IMPORTRANGE(""https://docs.google.com/spreadsheets/d/1XL5vhW3sbDhbH9Cz0tuDiY8C3ctxq1tqvaCgkFb8cCA/edit?usp=sharing"",""บึงกาฬ!I140"")"),0)</f>
        <v>0</v>
      </c>
      <c r="J215" s="205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IFERROR(__xludf.DUMMYFUNCTION("IMPORTRANGE(""https://docs.google.com/spreadsheets/d/1XL5vhW3sbDhbH9Cz0tuDiY8C3ctxq1tqvaCgkFb8cCA/edit?usp=sharing"",""บึงกาฬ!I141"")"),0)</f>
        <v>0</v>
      </c>
      <c r="J216" s="205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IFERROR(__xludf.DUMMYFUNCTION("IMPORTRANGE(""https://docs.google.com/spreadsheets/d/1Yj_ptqi66GCucihVvJfMjLAmec39IyEx_6qawtMGysU/edit?usp=sharing"",""สบก!BS43"")"),20210)</f>
        <v>20210</v>
      </c>
      <c r="N224" s="538">
        <f ca="1">IFERROR(__xludf.DUMMYFUNCTION("IMPORTRANGE(""https://docs.google.com/spreadsheets/d/1Yj_ptqi66GCucihVvJfMjLAmec39IyEx_6qawtMGysU/edit?usp=sharing"",""สบก!BT43"")"),20196)</f>
        <v>20196</v>
      </c>
      <c r="O224" s="170">
        <f ca="1">IF(L224&gt;0,N224*100/L224,0)</f>
        <v>99.930727362691741</v>
      </c>
      <c r="P224" s="170">
        <f ca="1">IF(M224&gt;0,N224*100/M224,0)</f>
        <v>99.930727362691741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IFERROR(__xludf.DUMMYFUNCTION("IMPORTRANGE(""https://docs.google.com/spreadsheets/d/1Yj_ptqi66GCucihVvJfMjLAmec39IyEx_6qawtMGysU/edit?usp=sharing"",""สบก!BO43"")"),0)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IFERROR(__xludf.DUMMYFUNCTION("IMPORTRANGE(""https://docs.google.com/spreadsheets/d/1Yj_ptqi66GCucihVvJfMjLAmec39IyEx_6qawtMGysU/edit?usp=sharing"",""สบก!BP43"")"),20210)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IFERROR(__xludf.DUMMYFUNCTION("IMPORTRANGE(""https://docs.google.com/spreadsheets/d/1Yj_ptqi66GCucihVvJfMjLAmec39IyEx_6qawtMGysU/edit?usp=sharing"",""สบก!BQ43"")"),0)</f>
        <v>0</v>
      </c>
      <c r="M228" s="536"/>
      <c r="N228" s="533">
        <f ca="1">IFERROR(__xludf.DUMMYFUNCTION("IMPORTRANGE(""https://docs.google.com/spreadsheets/d/1Yj_ptqi66GCucihVvJfMjLAmec39IyEx_6qawtMGysU/edit?usp=sharing"",""สบก!BU43"")"),0)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IFERROR(__xludf.DUMMYFUNCTION("IMPORTRANGE(""https://docs.google.com/spreadsheets/d/1XL5vhW3sbDhbH9Cz0tuDiY8C3ctxq1tqvaCgkFb8cCA/edit?usp=sharing"",""บึงกาฬ!J151"")"),0)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IFERROR(__xludf.DUMMYFUNCTION("IMPORTRANGE(""https://docs.google.com/spreadsheets/d/1XL5vhW3sbDhbH9Cz0tuDiY8C3ctxq1tqvaCgkFb8cCA/edit?usp=sharing"",""บึงกาฬ!J152"")"),1)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IFERROR(__xludf.DUMMYFUNCTION("IMPORTRANGE(""https://docs.google.com/spreadsheets/d/1XL5vhW3sbDhbH9Cz0tuDiY8C3ctxq1tqvaCgkFb8cCA/edit?usp=sharing"",""บึงกาฬ!J153"")"),1)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IFERROR(__xludf.DUMMYFUNCTION("IMPORTRANGE(""https://docs.google.com/spreadsheets/d/1XL5vhW3sbDhbH9Cz0tuDiY8C3ctxq1tqvaCgkFb8cCA/edit?usp=sharing"",""บึงกาฬ!J154"")"),0)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IFERROR(__xludf.DUMMYFUNCTION("IMPORTRANGE(""https://docs.google.com/spreadsheets/d/1XL5vhW3sbDhbH9Cz0tuDiY8C3ctxq1tqvaCgkFb8cCA/edit?usp=sharing"",""บึงกาฬ!I155"")"),14)</f>
        <v>14</v>
      </c>
      <c r="J235" s="190">
        <f ca="1">IFERROR(__xludf.DUMMYFUNCTION("IMPORTRANGE(""https://docs.google.com/spreadsheets/d/1XL5vhW3sbDhbH9Cz0tuDiY8C3ctxq1tqvaCgkFb8cCA/edit?usp=sharing"",""บึงกาฬ!J155"")"),14)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IFERROR(__xludf.DUMMYFUNCTION("IMPORTRANGE(""https://docs.google.com/spreadsheets/d/1XL5vhW3sbDhbH9Cz0tuDiY8C3ctxq1tqvaCgkFb8cCA/edit?usp=sharing"",""บึงกาฬ!J156"")"),0)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IFERROR(__xludf.DUMMYFUNCTION("IMPORTRANGE(""https://docs.google.com/spreadsheets/d/1XL5vhW3sbDhbH9Cz0tuDiY8C3ctxq1tqvaCgkFb8cCA/edit?usp=sharing"",""บึงกาฬ!J159"")"),"")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IFERROR(__xludf.DUMMYFUNCTION("IMPORTRANGE(""https://docs.google.com/spreadsheets/d/1XL5vhW3sbDhbH9Cz0tuDiY8C3ctxq1tqvaCgkFb8cCA/edit?usp=sharing"",""บึงกาฬ!J161"")"),0)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IFERROR(__xludf.DUMMYFUNCTION("IMPORTRANGE(""https://docs.google.com/spreadsheets/d/1XL5vhW3sbDhbH9Cz0tuDiY8C3ctxq1tqvaCgkFb8cCA/edit?usp=sharing"",""บึงกาฬ!J162"")"),0)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IFERROR(__xludf.DUMMYFUNCTION("IMPORTRANGE(""https://docs.google.com/spreadsheets/d/1XL5vhW3sbDhbH9Cz0tuDiY8C3ctxq1tqvaCgkFb8cCA/edit?usp=sharing"",""บึงกาฬ!J163"")"),0)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IFERROR(__xludf.DUMMYFUNCTION("IMPORTRANGE(""https://docs.google.com/spreadsheets/d/1XL5vhW3sbDhbH9Cz0tuDiY8C3ctxq1tqvaCgkFb8cCA/edit?usp=sharing"",""บึงกาฬ!I164"")"),0)</f>
        <v>0</v>
      </c>
      <c r="J244" s="189">
        <f ca="1">IFERROR(__xludf.DUMMYFUNCTION("IMPORTRANGE(""https://docs.google.com/spreadsheets/d/1XL5vhW3sbDhbH9Cz0tuDiY8C3ctxq1tqvaCgkFb8cCA/edit?usp=sharing"",""บึงกาฬ!J164"")"),0)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IFERROR(__xludf.DUMMYFUNCTION("IMPORTRANGE(""https://docs.google.com/spreadsheets/d/1XL5vhW3sbDhbH9Cz0tuDiY8C3ctxq1tqvaCgkFb8cCA/edit?usp=sharing"",""บึงกาฬ!J165"")"),0)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IFERROR(__xludf.DUMMYFUNCTION("IMPORTRANGE(""https://docs.google.com/spreadsheets/d/1XL5vhW3sbDhbH9Cz0tuDiY8C3ctxq1tqvaCgkFb8cCA/edit?usp=sharing"",""บึงกาฬ!I169"")"),0)</f>
        <v>0</v>
      </c>
      <c r="J249" s="316">
        <f ca="1">IFERROR(__xludf.DUMMYFUNCTION("IMPORTRANGE(""https://docs.google.com/spreadsheets/d/1XL5vhW3sbDhbH9Cz0tuDiY8C3ctxq1tqvaCgkFb8cCA/edit?usp=sharing"",""บึงกาฬ!J169"")"),0)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IFERROR(__xludf.DUMMYFUNCTION("IMPORTRANGE(""https://docs.google.com/spreadsheets/d/1Yj_ptqi66GCucihVvJfMjLAmec39IyEx_6qawtMGysU/edit?usp=sharing"",""สบก!CB43"")"),0)</f>
        <v>0</v>
      </c>
      <c r="N254" s="538">
        <f ca="1">IFERROR(__xludf.DUMMYFUNCTION("IMPORTRANGE(""https://docs.google.com/spreadsheets/d/1Yj_ptqi66GCucihVvJfMjLAmec39IyEx_6qawtMGysU/edit?usp=sharing"",""สบก!CC43"")"),0)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IFERROR(__xludf.DUMMYFUNCTION("IMPORTRANGE(""https://docs.google.com/spreadsheets/d/1Yj_ptqi66GCucihVvJfMjLAmec39IyEx_6qawtMGysU/edit?usp=sharing"",""สบก!BX43"")"),0)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IFERROR(__xludf.DUMMYFUNCTION("IMPORTRANGE(""https://docs.google.com/spreadsheets/d/1Yj_ptqi66GCucihVvJfMjLAmec39IyEx_6qawtMGysU/edit?usp=sharing"",""สบก!BY43"")"),0)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IFERROR(__xludf.DUMMYFUNCTION("IMPORTRANGE(""https://docs.google.com/spreadsheets/d/1Yj_ptqi66GCucihVvJfMjLAmec39IyEx_6qawtMGysU/edit?usp=sharing"",""สบก!BZ43"")"),0)</f>
        <v>0</v>
      </c>
      <c r="M258" s="536"/>
      <c r="N258" s="533">
        <f ca="1">IFERROR(__xludf.DUMMYFUNCTION("IMPORTRANGE(""https://docs.google.com/spreadsheets/d/1Yj_ptqi66GCucihVvJfMjLAmec39IyEx_6qawtMGysU/edit?usp=sharing"",""สบก!CD43"")"),0)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IFERROR(__xludf.DUMMYFUNCTION("IMPORTRANGE(""https://docs.google.com/spreadsheets/d/1XL5vhW3sbDhbH9Cz0tuDiY8C3ctxq1tqvaCgkFb8cCA/edit?usp=sharing"",""บึงกาฬ!J175"")"),0)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IFERROR(__xludf.DUMMYFUNCTION("IMPORTRANGE(""https://docs.google.com/spreadsheets/d/1XL5vhW3sbDhbH9Cz0tuDiY8C3ctxq1tqvaCgkFb8cCA/edit?usp=sharing"",""บึงกาฬ!J176"")"),0)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IFERROR(__xludf.DUMMYFUNCTION("IMPORTRANGE(""https://docs.google.com/spreadsheets/d/1XL5vhW3sbDhbH9Cz0tuDiY8C3ctxq1tqvaCgkFb8cCA/edit?usp=sharing"",""บึงกาฬ!J177"")"),0)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IFERROR(__xludf.DUMMYFUNCTION("IMPORTRANGE(""https://docs.google.com/spreadsheets/d/1XL5vhW3sbDhbH9Cz0tuDiY8C3ctxq1tqvaCgkFb8cCA/edit?usp=sharing"",""บึงกาฬ!J178"")"),0)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IFERROR(__xludf.DUMMYFUNCTION("IMPORTRANGE(""https://docs.google.com/spreadsheets/d/1XL5vhW3sbDhbH9Cz0tuDiY8C3ctxq1tqvaCgkFb8cCA/edit?usp=sharing"",""บึงกาฬ!I179"")"),0)</f>
        <v>0</v>
      </c>
      <c r="J264" s="190">
        <f ca="1">IFERROR(__xludf.DUMMYFUNCTION("IMPORTRANGE(""https://docs.google.com/spreadsheets/d/1XL5vhW3sbDhbH9Cz0tuDiY8C3ctxq1tqvaCgkFb8cCA/edit?usp=sharing"",""บึงกาฬ!J179"")"),0)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IFERROR(__xludf.DUMMYFUNCTION("IMPORTRANGE(""https://docs.google.com/spreadsheets/d/1XL5vhW3sbDhbH9Cz0tuDiY8C3ctxq1tqvaCgkFb8cCA/edit?usp=sharing"",""บึงกาฬ!I180"")"),0)</f>
        <v>0</v>
      </c>
      <c r="J265" s="190">
        <f ca="1">IFERROR(__xludf.DUMMYFUNCTION("IMPORTRANGE(""https://docs.google.com/spreadsheets/d/1XL5vhW3sbDhbH9Cz0tuDiY8C3ctxq1tqvaCgkFb8cCA/edit?usp=sharing"",""บึงกาฬ!J180"")"),0)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IFERROR(__xludf.DUMMYFUNCTION("IMPORTRANGE(""https://docs.google.com/spreadsheets/d/1XL5vhW3sbDhbH9Cz0tuDiY8C3ctxq1tqvaCgkFb8cCA/edit?usp=sharing"",""บึงกาฬ!I181"")"),0)</f>
        <v>0</v>
      </c>
      <c r="J266" s="190">
        <f ca="1">IFERROR(__xludf.DUMMYFUNCTION("IMPORTRANGE(""https://docs.google.com/spreadsheets/d/1XL5vhW3sbDhbH9Cz0tuDiY8C3ctxq1tqvaCgkFb8cCA/edit?usp=sharing"",""บึงกาฬ!J181"")"),0)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IFERROR(__xludf.DUMMYFUNCTION("IMPORTRANGE(""https://docs.google.com/spreadsheets/d/1XL5vhW3sbDhbH9Cz0tuDiY8C3ctxq1tqvaCgkFb8cCA/edit?usp=sharing"",""บึงกาฬ!I182"")"),0)</f>
        <v>0</v>
      </c>
      <c r="J267" s="190">
        <f ca="1">IFERROR(__xludf.DUMMYFUNCTION("IMPORTRANGE(""https://docs.google.com/spreadsheets/d/1XL5vhW3sbDhbH9Cz0tuDiY8C3ctxq1tqvaCgkFb8cCA/edit?usp=sharing"",""บึงกาฬ!J182"")"),0)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IFERROR(__xludf.DUMMYFUNCTION("IMPORTRANGE(""https://docs.google.com/spreadsheets/d/1XL5vhW3sbDhbH9Cz0tuDiY8C3ctxq1tqvaCgkFb8cCA/edit?usp=sharing"",""บึงกาฬ!J183"")"),0)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IFERROR(__xludf.DUMMYFUNCTION("IMPORTRANGE(""https://docs.google.com/spreadsheets/d/1XL5vhW3sbDhbH9Cz0tuDiY8C3ctxq1tqvaCgkFb8cCA/edit?usp=sharing"",""บึงกาฬ!J184"")"),0)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IFERROR(__xludf.DUMMYFUNCTION("IMPORTRANGE(""https://docs.google.com/spreadsheets/d/1XL5vhW3sbDhbH9Cz0tuDiY8C3ctxq1tqvaCgkFb8cCA/edit?usp=sharing"",""บึงกาฬ!I185"")"),0)</f>
        <v>0</v>
      </c>
      <c r="J270" s="316">
        <f ca="1">IFERROR(__xludf.DUMMYFUNCTION("IMPORTRANGE(""https://docs.google.com/spreadsheets/d/1XL5vhW3sbDhbH9Cz0tuDiY8C3ctxq1tqvaCgkFb8cCA/edit?usp=sharing"",""บึงกาฬ!J185"")"),0)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IFERROR(__xludf.DUMMYFUNCTION("IMPORTRANGE(""https://docs.google.com/spreadsheets/d/1Yj_ptqi66GCucihVvJfMjLAmec39IyEx_6qawtMGysU/edit?usp=sharing"",""สบก!CK43"")"),0)</f>
        <v>0</v>
      </c>
      <c r="N275" s="538">
        <f ca="1">IFERROR(__xludf.DUMMYFUNCTION("IMPORTRANGE(""https://docs.google.com/spreadsheets/d/1Yj_ptqi66GCucihVvJfMjLAmec39IyEx_6qawtMGysU/edit?usp=sharing"",""สบก!CL43"")"),0)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IFERROR(__xludf.DUMMYFUNCTION("IMPORTRANGE(""https://docs.google.com/spreadsheets/d/1Yj_ptqi66GCucihVvJfMjLAmec39IyEx_6qawtMGysU/edit?usp=sharing"",""สบก!CG43"")"),0)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IFERROR(__xludf.DUMMYFUNCTION("IMPORTRANGE(""https://docs.google.com/spreadsheets/d/1Yj_ptqi66GCucihVvJfMjLAmec39IyEx_6qawtMGysU/edit?usp=sharing"",""สบก!CH43"")"),0)</f>
        <v>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IFERROR(__xludf.DUMMYFUNCTION("IMPORTRANGE(""https://docs.google.com/spreadsheets/d/1Yj_ptqi66GCucihVvJfMjLAmec39IyEx_6qawtMGysU/edit?usp=sharing"",""สบก!CI43"")"),0)</f>
        <v>0</v>
      </c>
      <c r="M279" s="536"/>
      <c r="N279" s="533">
        <f ca="1">IFERROR(__xludf.DUMMYFUNCTION("IMPORTRANGE(""https://docs.google.com/spreadsheets/d/1Yj_ptqi66GCucihVvJfMjLAmec39IyEx_6qawtMGysU/edit?usp=sharing"",""สบก!CM43"")"),0)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IFERROR(__xludf.DUMMYFUNCTION("IMPORTRANGE(""https://docs.google.com/spreadsheets/d/1XL5vhW3sbDhbH9Cz0tuDiY8C3ctxq1tqvaCgkFb8cCA/edit?usp=sharing"",""บึงกาฬ!J191"")"),0)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IFERROR(__xludf.DUMMYFUNCTION("IMPORTRANGE(""https://docs.google.com/spreadsheets/d/1XL5vhW3sbDhbH9Cz0tuDiY8C3ctxq1tqvaCgkFb8cCA/edit?usp=sharing"",""บึงกาฬ!J192"")"),0)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IFERROR(__xludf.DUMMYFUNCTION("IMPORTRANGE(""https://docs.google.com/spreadsheets/d/1XL5vhW3sbDhbH9Cz0tuDiY8C3ctxq1tqvaCgkFb8cCA/edit?usp=sharing"",""บึงกาฬ!J193"")"),0)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IFERROR(__xludf.DUMMYFUNCTION("IMPORTRANGE(""https://docs.google.com/spreadsheets/d/1XL5vhW3sbDhbH9Cz0tuDiY8C3ctxq1tqvaCgkFb8cCA/edit?usp=sharing"",""บึงกาฬ!J194"")"),0)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IFERROR(__xludf.DUMMYFUNCTION("IMPORTRANGE(""https://docs.google.com/spreadsheets/d/1XL5vhW3sbDhbH9Cz0tuDiY8C3ctxq1tqvaCgkFb8cCA/edit?usp=sharing"",""บึงกาฬ!I195"")"),0)</f>
        <v>0</v>
      </c>
      <c r="J285" s="190">
        <f ca="1">IFERROR(__xludf.DUMMYFUNCTION("IMPORTRANGE(""https://docs.google.com/spreadsheets/d/1XL5vhW3sbDhbH9Cz0tuDiY8C3ctxq1tqvaCgkFb8cCA/edit?usp=sharing"",""บึงกาฬ!J195"")"),0)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IFERROR(__xludf.DUMMYFUNCTION("IMPORTRANGE(""https://docs.google.com/spreadsheets/d/1XL5vhW3sbDhbH9Cz0tuDiY8C3ctxq1tqvaCgkFb8cCA/edit?usp=sharing"",""บึงกาฬ!J196"")"),0)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IFERROR(__xludf.DUMMYFUNCTION("IMPORTRANGE(""https://docs.google.com/spreadsheets/d/1XL5vhW3sbDhbH9Cz0tuDiY8C3ctxq1tqvaCgkFb8cCA/edit?usp=sharing"",""บึงกาฬ!I199"")"),0)</f>
        <v>0</v>
      </c>
      <c r="J289" s="316">
        <f ca="1">IFERROR(__xludf.DUMMYFUNCTION("IMPORTRANGE(""https://docs.google.com/spreadsheets/d/1XL5vhW3sbDhbH9Cz0tuDiY8C3ctxq1tqvaCgkFb8cCA/edit?usp=sharing"",""บึงกาฬ!J199"")"),0)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IFERROR(__xludf.DUMMYFUNCTION("IMPORTRANGE(""https://docs.google.com/spreadsheets/d/1Yj_ptqi66GCucihVvJfMjLAmec39IyEx_6qawtMGysU/edit?usp=sharing"",""สบก!CT43"")"),0)</f>
        <v>0</v>
      </c>
      <c r="N294" s="538">
        <f ca="1">IFERROR(__xludf.DUMMYFUNCTION("IMPORTRANGE(""https://docs.google.com/spreadsheets/d/1Yj_ptqi66GCucihVvJfMjLAmec39IyEx_6qawtMGysU/edit?usp=sharing"",""สบก!CU43"")"),0)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IFERROR(__xludf.DUMMYFUNCTION("IMPORTRANGE(""https://docs.google.com/spreadsheets/d/1Yj_ptqi66GCucihVvJfMjLAmec39IyEx_6qawtMGysU/edit?usp=sharing"",""สบก!CP43"")"),0)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IFERROR(__xludf.DUMMYFUNCTION("IMPORTRANGE(""https://docs.google.com/spreadsheets/d/1Yj_ptqi66GCucihVvJfMjLAmec39IyEx_6qawtMGysU/edit?usp=sharing"",""สบก!CQ43"")"),0)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IFERROR(__xludf.DUMMYFUNCTION("IMPORTRANGE(""https://docs.google.com/spreadsheets/d/1Yj_ptqi66GCucihVvJfMjLAmec39IyEx_6qawtMGysU/edit?usp=sharing"",""สบก!CR43"")"),0)</f>
        <v>0</v>
      </c>
      <c r="M298" s="536"/>
      <c r="N298" s="533">
        <f ca="1">IFERROR(__xludf.DUMMYFUNCTION("IMPORTRANGE(""https://docs.google.com/spreadsheets/d/1Yj_ptqi66GCucihVvJfMjLAmec39IyEx_6qawtMGysU/edit?usp=sharing"",""สบก!CV43"")"),0)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IFERROR(__xludf.DUMMYFUNCTION("IMPORTRANGE(""https://docs.google.com/spreadsheets/d/1XL5vhW3sbDhbH9Cz0tuDiY8C3ctxq1tqvaCgkFb8cCA/edit?usp=sharing"",""บึงกาฬ!I209"")"),0)</f>
        <v>0</v>
      </c>
      <c r="J304" s="205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IFERROR(__xludf.DUMMYFUNCTION("IMPORTRANGE(""https://docs.google.com/spreadsheets/d/1XL5vhW3sbDhbH9Cz0tuDiY8C3ctxq1tqvaCgkFb8cCA/edit?usp=sharing"",""บึงกาฬ!I211"")"),0)</f>
        <v>0</v>
      </c>
      <c r="J306" s="205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IFERROR(__xludf.DUMMYFUNCTION("IMPORTRANGE(""https://docs.google.com/spreadsheets/d/1XL5vhW3sbDhbH9Cz0tuDiY8C3ctxq1tqvaCgkFb8cCA/edit?usp=sharing"",""บึงกาฬ!I214"")"),0)</f>
        <v>0</v>
      </c>
      <c r="J309" s="333">
        <f ca="1">IFERROR(__xludf.DUMMYFUNCTION("IMPORTRANGE(""https://docs.google.com/spreadsheets/d/1XL5vhW3sbDhbH9Cz0tuDiY8C3ctxq1tqvaCgkFb8cCA/edit?usp=sharing"",""บึงกาฬ!J214"")"),0)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IFERROR(__xludf.DUMMYFUNCTION("IMPORTRANGE(""https://docs.google.com/spreadsheets/d/1Yj_ptqi66GCucihVvJfMjLAmec39IyEx_6qawtMGysU/edit?usp=sharing"",""สบก!DC43"")"),0)</f>
        <v>0</v>
      </c>
      <c r="N314" s="538">
        <f ca="1">IFERROR(__xludf.DUMMYFUNCTION("IMPORTRANGE(""https://docs.google.com/spreadsheets/d/1Yj_ptqi66GCucihVvJfMjLAmec39IyEx_6qawtMGysU/edit?usp=sharing"",""สบก!DD43"")"),0)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IFERROR(__xludf.DUMMYFUNCTION("IMPORTRANGE(""https://docs.google.com/spreadsheets/d/1Yj_ptqi66GCucihVvJfMjLAmec39IyEx_6qawtMGysU/edit?usp=sharing"",""สบก!CY43"")"),0)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IFERROR(__xludf.DUMMYFUNCTION("IMPORTRANGE(""https://docs.google.com/spreadsheets/d/1Yj_ptqi66GCucihVvJfMjLAmec39IyEx_6qawtMGysU/edit?usp=sharing"",""สบก!CZ43"")"),0)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IFERROR(__xludf.DUMMYFUNCTION("IMPORTRANGE(""https://docs.google.com/spreadsheets/d/1Yj_ptqi66GCucihVvJfMjLAmec39IyEx_6qawtMGysU/edit?usp=sharing"",""สบก!DA43"")"),0)</f>
        <v>0</v>
      </c>
      <c r="M318" s="536"/>
      <c r="N318" s="533">
        <f ca="1">IFERROR(__xludf.DUMMYFUNCTION("IMPORTRANGE(""https://docs.google.com/spreadsheets/d/1Yj_ptqi66GCucihVvJfMjLAmec39IyEx_6qawtMGysU/edit?usp=sharing"",""สบก!DE43"")"),0)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IFERROR(__xludf.DUMMYFUNCTION("IMPORTRANGE(""https://docs.google.com/spreadsheets/d/1XL5vhW3sbDhbH9Cz0tuDiY8C3ctxq1tqvaCgkFb8cCA/edit?usp=sharing"",""บึงกาฬ!I224"")"),0)</f>
        <v>0</v>
      </c>
      <c r="J324" s="205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IFERROR(__xludf.DUMMYFUNCTION("IMPORTRANGE(""https://docs.google.com/spreadsheets/d/1XL5vhW3sbDhbH9Cz0tuDiY8C3ctxq1tqvaCgkFb8cCA/edit?usp=sharing"",""บึงกาฬ!I228"")"),640)</f>
        <v>640</v>
      </c>
      <c r="J328" s="339">
        <f ca="1">IFERROR(__xludf.DUMMYFUNCTION("IMPORTRANGE(""https://docs.google.com/spreadsheets/d/1XL5vhW3sbDhbH9Cz0tuDiY8C3ctxq1tqvaCgkFb8cCA/edit?usp=sharing"",""บึงกาฬ!J228"")"),19)</f>
        <v>19</v>
      </c>
      <c r="K328" s="317">
        <f ca="1">IF(I328&gt;0,J328*100/I328,0)</f>
        <v>2.96875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1501900</v>
      </c>
      <c r="M329" s="152">
        <f t="shared" ca="1" si="98"/>
        <v>894000</v>
      </c>
      <c r="N329" s="152">
        <f t="shared" ca="1" si="98"/>
        <v>756602</v>
      </c>
      <c r="O329" s="151">
        <f t="shared" ref="O329:O331" ca="1" si="99">IF(L329&gt;0,N329*100/L329,0)</f>
        <v>50.376323323789869</v>
      </c>
      <c r="P329" s="151">
        <f t="shared" ref="P329:P331" ca="1" si="100">IF(M329&gt;0,N329*100/M329,0)</f>
        <v>84.631096196868015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1501900</v>
      </c>
      <c r="M331" s="157">
        <f t="shared" ca="1" si="102"/>
        <v>894000</v>
      </c>
      <c r="N331" s="157">
        <f t="shared" ca="1" si="102"/>
        <v>756602</v>
      </c>
      <c r="O331" s="156">
        <f t="shared" ca="1" si="99"/>
        <v>50.376323323789869</v>
      </c>
      <c r="P331" s="156">
        <f t="shared" ca="1" si="100"/>
        <v>84.631096196868015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1409300</v>
      </c>
      <c r="M333" s="537">
        <f ca="1">IFERROR(__xludf.DUMMYFUNCTION("IMPORTRANGE(""https://docs.google.com/spreadsheets/d/1Yj_ptqi66GCucihVvJfMjLAmec39IyEx_6qawtMGysU/edit?usp=sharing"",""สบก!DL43"")"),801400)</f>
        <v>801400</v>
      </c>
      <c r="N333" s="538">
        <f ca="1">IFERROR(__xludf.DUMMYFUNCTION("IMPORTRANGE(""https://docs.google.com/spreadsheets/d/1Yj_ptqi66GCucihVvJfMjLAmec39IyEx_6qawtMGysU/edit?usp=sharing"",""สบก!DM43"")"),664502)</f>
        <v>664502</v>
      </c>
      <c r="O333" s="170">
        <f ca="1">IF(L333&gt;0,N333*100/L333,0)</f>
        <v>47.15120982047825</v>
      </c>
      <c r="P333" s="170">
        <f ca="1">IF(M333&gt;0,N333*100/M333,0)</f>
        <v>82.91764412278512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IFERROR(__xludf.DUMMYFUNCTION("IMPORTRANGE(""https://docs.google.com/spreadsheets/d/1Yj_ptqi66GCucihVvJfMjLAmec39IyEx_6qawtMGysU/edit?usp=sharing"",""สบก!DH43"")"),510300)</f>
        <v>510300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IFERROR(__xludf.DUMMYFUNCTION("IMPORTRANGE(""https://docs.google.com/spreadsheets/d/1Yj_ptqi66GCucihVvJfMjLAmec39IyEx_6qawtMGysU/edit?usp=sharing"",""สบก!DI43"")"),899000)</f>
        <v>899000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IFERROR(__xludf.DUMMYFUNCTION("IMPORTRANGE(""https://docs.google.com/spreadsheets/d/1Yj_ptqi66GCucihVvJfMjLAmec39IyEx_6qawtMGysU/edit?usp=sharing"",""สบก!DJ43"")"),92600)</f>
        <v>92600</v>
      </c>
      <c r="M337" s="536">
        <f ca="1">L337</f>
        <v>92600</v>
      </c>
      <c r="N337" s="533">
        <f ca="1">IFERROR(__xludf.DUMMYFUNCTION("IMPORTRANGE(""https://docs.google.com/spreadsheets/d/1Yj_ptqi66GCucihVvJfMjLAmec39IyEx_6qawtMGysU/edit?usp=sharing"",""สบก!DN43"")"),92100)</f>
        <v>92100</v>
      </c>
      <c r="O337" s="536">
        <f ca="1">IF(L337&gt;0,N337*100/L337,0)</f>
        <v>99.460043196544277</v>
      </c>
      <c r="P337" s="536">
        <f ca="1">IF(M337&gt;0,N337*100/M337,0)</f>
        <v>99.460043196544277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IFERROR(__xludf.DUMMYFUNCTION("IMPORTRANGE(""https://docs.google.com/spreadsheets/d/1XL5vhW3sbDhbH9Cz0tuDiY8C3ctxq1tqvaCgkFb8cCA/edit?usp=sharing"",""บึงกาฬ!I234"")"),0)</f>
        <v>0</v>
      </c>
      <c r="J339" s="189">
        <f ca="1">IFERROR(__xludf.DUMMYFUNCTION("IMPORTRANGE(""https://docs.google.com/spreadsheets/d/1XL5vhW3sbDhbH9Cz0tuDiY8C3ctxq1tqvaCgkFb8cCA/edit?usp=sharing"",""บึงกาฬ!J234"")"),380)</f>
        <v>380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IFERROR(__xludf.DUMMYFUNCTION("IMPORTRANGE(""https://docs.google.com/spreadsheets/d/1XL5vhW3sbDhbH9Cz0tuDiY8C3ctxq1tqvaCgkFb8cCA/edit?usp=sharing"",""บึงกาฬ!I235"")"),6000)</f>
        <v>6000</v>
      </c>
      <c r="J340" s="189">
        <f ca="1">IFERROR(__xludf.DUMMYFUNCTION("IMPORTRANGE(""https://docs.google.com/spreadsheets/d/1XL5vhW3sbDhbH9Cz0tuDiY8C3ctxq1tqvaCgkFb8cCA/edit?usp=sharing"",""บึงกาฬ!J235"")"),4314.47)</f>
        <v>4314.47</v>
      </c>
      <c r="K340" s="342">
        <f t="shared" ca="1" si="103"/>
        <v>71.907833333333329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IFERROR(__xludf.DUMMYFUNCTION("IMPORTRANGE(""https://docs.google.com/spreadsheets/d/1XL5vhW3sbDhbH9Cz0tuDiY8C3ctxq1tqvaCgkFb8cCA/edit?usp=sharing"",""บึงกาฬ!I236"")"),640)</f>
        <v>640</v>
      </c>
      <c r="J341" s="189">
        <f ca="1">IFERROR(__xludf.DUMMYFUNCTION("IMPORTRANGE(""https://docs.google.com/spreadsheets/d/1XL5vhW3sbDhbH9Cz0tuDiY8C3ctxq1tqvaCgkFb8cCA/edit?usp=sharing"",""บึงกาฬ!J236"")"),182)</f>
        <v>182</v>
      </c>
      <c r="K341" s="342">
        <f t="shared" ca="1" si="103"/>
        <v>28.4375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9">
        <f ca="1">IFERROR(__xludf.DUMMYFUNCTION("IMPORTRANGE(""https://docs.google.com/spreadsheets/d/1XL5vhW3sbDhbH9Cz0tuDiY8C3ctxq1tqvaCgkFb8cCA/edit?usp=sharing"",""บึงกาฬ!J237"")"),2454.1)</f>
        <v>2454.1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IFERROR(__xludf.DUMMYFUNCTION("IMPORTRANGE(""https://docs.google.com/spreadsheets/d/1XL5vhW3sbDhbH9Cz0tuDiY8C3ctxq1tqvaCgkFb8cCA/edit?usp=sharing"",""บึงกาฬ!I238"")"),640)</f>
        <v>640</v>
      </c>
      <c r="J343" s="189">
        <f ca="1">IFERROR(__xludf.DUMMYFUNCTION("IMPORTRANGE(""https://docs.google.com/spreadsheets/d/1XL5vhW3sbDhbH9Cz0tuDiY8C3ctxq1tqvaCgkFb8cCA/edit?usp=sharing"",""บึงกาฬ!J238"")"),0)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9">
        <f ca="1">IFERROR(__xludf.DUMMYFUNCTION("IMPORTRANGE(""https://docs.google.com/spreadsheets/d/1XL5vhW3sbDhbH9Cz0tuDiY8C3ctxq1tqvaCgkFb8cCA/edit?usp=sharing"",""บึงกาฬ!J239"")"),0)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IFERROR(__xludf.DUMMYFUNCTION("IMPORTRANGE(""https://docs.google.com/spreadsheets/d/1XL5vhW3sbDhbH9Cz0tuDiY8C3ctxq1tqvaCgkFb8cCA/edit?usp=sharing"",""บึงกาฬ!I240"")"),640)</f>
        <v>640</v>
      </c>
      <c r="J345" s="189">
        <f ca="1">IFERROR(__xludf.DUMMYFUNCTION("IMPORTRANGE(""https://docs.google.com/spreadsheets/d/1XL5vhW3sbDhbH9Cz0tuDiY8C3ctxq1tqvaCgkFb8cCA/edit?usp=sharing"",""บึงกาฬ!J240"")"),19)</f>
        <v>19</v>
      </c>
      <c r="K345" s="342">
        <f t="shared" ca="1" si="103"/>
        <v>2.96875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9">
        <f ca="1">IFERROR(__xludf.DUMMYFUNCTION("IMPORTRANGE(""https://docs.google.com/spreadsheets/d/1XL5vhW3sbDhbH9Cz0tuDiY8C3ctxq1tqvaCgkFb8cCA/edit?usp=sharing"",""บึงกาฬ!J241"")"),348.8)</f>
        <v>348.8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IFERROR(__xludf.DUMMYFUNCTION("IMPORTRANGE(""https://docs.google.com/spreadsheets/d/1XL5vhW3sbDhbH9Cz0tuDiY8C3ctxq1tqvaCgkFb8cCA/edit?usp=sharing"",""บึงกาฬ!L242"")"),2788445)</f>
        <v>2788445</v>
      </c>
      <c r="M347" s="358"/>
      <c r="N347" s="358">
        <f ca="1">IFERROR(__xludf.DUMMYFUNCTION("IMPORTRANGE(""https://docs.google.com/spreadsheets/d/1XL5vhW3sbDhbH9Cz0tuDiY8C3ctxq1tqvaCgkFb8cCA/edit?usp=sharing"",""บึงกาฬ!M242"")"),314136)</f>
        <v>314136</v>
      </c>
      <c r="O347" s="358">
        <f ca="1">+IF(L347&gt;0,N347*100/L347,0)</f>
        <v>11.265633713413749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IFERROR(__xludf.DUMMYFUNCTION("IMPORTRANGE(""https://docs.google.com/spreadsheets/d/1XL5vhW3sbDhbH9Cz0tuDiY8C3ctxq1tqvaCgkFb8cCA/edit?usp=sharing"",""บึงกาฬ!M244"")"),76539)</f>
        <v>76539</v>
      </c>
      <c r="O349" s="373">
        <f ca="1">+IF(L349&gt;0,N349*100/L349,0)</f>
        <v>16.926666371798841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IFERROR(__xludf.DUMMYFUNCTION("IMPORTRANGE(""https://docs.google.com/spreadsheets/d/1XL5vhW3sbDhbH9Cz0tuDiY8C3ctxq1tqvaCgkFb8cCA/edit?usp=sharing"",""บึงกาฬ!L246"")"),0)</f>
        <v>0</v>
      </c>
      <c r="M351" s="166"/>
      <c r="N351" s="166">
        <f ca="1">IFERROR(__xludf.DUMMYFUNCTION("IMPORTRANGE(""https://docs.google.com/spreadsheets/d/1XL5vhW3sbDhbH9Cz0tuDiY8C3ctxq1tqvaCgkFb8cCA/edit?usp=sharing"",""บึงกาฬ!M246"")"),0)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IFERROR(__xludf.DUMMYFUNCTION("IMPORTRANGE(""https://docs.google.com/spreadsheets/d/1XL5vhW3sbDhbH9Cz0tuDiY8C3ctxq1tqvaCgkFb8cCA/edit?usp=sharing"",""บึงกาฬ!L247"")"),452180)</f>
        <v>452180</v>
      </c>
      <c r="M352" s="167"/>
      <c r="N352" s="166">
        <f ca="1">IFERROR(__xludf.DUMMYFUNCTION("IMPORTRANGE(""https://docs.google.com/spreadsheets/d/1XL5vhW3sbDhbH9Cz0tuDiY8C3ctxq1tqvaCgkFb8cCA/edit?usp=sharing"",""บึงกาฬ!M247"")"),76539)</f>
        <v>76539</v>
      </c>
      <c r="O352" s="167">
        <f t="shared" ca="1" si="105"/>
        <v>16.926666371798841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IFERROR(__xludf.DUMMYFUNCTION("IMPORTRANGE(""https://docs.google.com/spreadsheets/d/1XL5vhW3sbDhbH9Cz0tuDiY8C3ctxq1tqvaCgkFb8cCA/edit?usp=sharing"",""บึงกาฬ!L248"")"),0)</f>
        <v>0</v>
      </c>
      <c r="M353" s="170"/>
      <c r="N353" s="170">
        <f ca="1">IFERROR(__xludf.DUMMYFUNCTION("IMPORTRANGE(""https://docs.google.com/spreadsheets/d/1XL5vhW3sbDhbH9Cz0tuDiY8C3ctxq1tqvaCgkFb8cCA/edit?usp=sharing"",""บึงกาฬ!M248"")"),0)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IFERROR(__xludf.DUMMYFUNCTION("IMPORTRANGE(""https://docs.google.com/spreadsheets/d/1XL5vhW3sbDhbH9Cz0tuDiY8C3ctxq1tqvaCgkFb8cCA/edit?usp=sharing"",""บึงกาฬ!L249"")"),452180)</f>
        <v>452180</v>
      </c>
      <c r="M354" s="170"/>
      <c r="N354" s="169">
        <f ca="1">IFERROR(__xludf.DUMMYFUNCTION("IMPORTRANGE(""https://docs.google.com/spreadsheets/d/1XL5vhW3sbDhbH9Cz0tuDiY8C3ctxq1tqvaCgkFb8cCA/edit?usp=sharing"",""บึงกาฬ!M249"")"),76539)</f>
        <v>76539</v>
      </c>
      <c r="O354" s="170">
        <f t="shared" ca="1" si="105"/>
        <v>16.926666371798841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IFERROR(__xludf.DUMMYFUNCTION("IMPORTRANGE(""https://docs.google.com/spreadsheets/d/1XL5vhW3sbDhbH9Cz0tuDiY8C3ctxq1tqvaCgkFb8cCA/edit?usp=sharing"",""บึงกาฬ!M250"")"),22930)</f>
        <v>22930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IFERROR(__xludf.DUMMYFUNCTION("IMPORTRANGE(""https://docs.google.com/spreadsheets/d/1XL5vhW3sbDhbH9Cz0tuDiY8C3ctxq1tqvaCgkFb8cCA/edit?usp=sharing"",""บึงกาฬ!M252"")"),35200)</f>
        <v>35200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IFERROR(__xludf.DUMMYFUNCTION("IMPORTRANGE(""https://docs.google.com/spreadsheets/d/1XL5vhW3sbDhbH9Cz0tuDiY8C3ctxq1tqvaCgkFb8cCA/edit?usp=sharing"",""บึงกาฬ!M253"")"),18409)</f>
        <v>18409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IFERROR(__xludf.DUMMYFUNCTION("IMPORTRANGE(""https://docs.google.com/spreadsheets/d/1XL5vhW3sbDhbH9Cz0tuDiY8C3ctxq1tqvaCgkFb8cCA/edit?usp=sharing"",""บึงกาฬ!J255"")"),0)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IFERROR(__xludf.DUMMYFUNCTION("IMPORTRANGE(""https://docs.google.com/spreadsheets/d/1XL5vhW3sbDhbH9Cz0tuDiY8C3ctxq1tqvaCgkFb8cCA/edit?usp=sharing"",""บึงกาฬ!J256"")"),1)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IFERROR(__xludf.DUMMYFUNCTION("IMPORTRANGE(""https://docs.google.com/spreadsheets/d/1XL5vhW3sbDhbH9Cz0tuDiY8C3ctxq1tqvaCgkFb8cCA/edit?usp=sharing"",""บึงกาฬ!J257"")"),1)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IFERROR(__xludf.DUMMYFUNCTION("IMPORTRANGE(""https://docs.google.com/spreadsheets/d/1XL5vhW3sbDhbH9Cz0tuDiY8C3ctxq1tqvaCgkFb8cCA/edit?usp=sharing"",""บึงกาฬ!J258"")"),1)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IFERROR(__xludf.DUMMYFUNCTION("IMPORTRANGE(""https://docs.google.com/spreadsheets/d/1XL5vhW3sbDhbH9Cz0tuDiY8C3ctxq1tqvaCgkFb8cCA/edit?usp=sharing"",""บึงกาฬ!J166"")"),0)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IFERROR(__xludf.DUMMYFUNCTION("IMPORTRANGE(""https://docs.google.com/spreadsheets/d/1XL5vhW3sbDhbH9Cz0tuDiY8C3ctxq1tqvaCgkFb8cCA/edit?usp=sharing"",""บึงกาฬ!J166"")"),0)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IFERROR(__xludf.DUMMYFUNCTION("IMPORTRANGE(""https://docs.google.com/spreadsheets/d/1XL5vhW3sbDhbH9Cz0tuDiY8C3ctxq1tqvaCgkFb8cCA/edit?usp=sharing"",""บึงกาฬ!J166"")"),0)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IFERROR(__xludf.DUMMYFUNCTION("IMPORTRANGE(""https://docs.google.com/spreadsheets/d/1XL5vhW3sbDhbH9Cz0tuDiY8C3ctxq1tqvaCgkFb8cCA/edit?usp=sharing"",""บึงกาฬ!J166"")"),0)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IFERROR(__xludf.DUMMYFUNCTION("IMPORTRANGE(""https://docs.google.com/spreadsheets/d/1XL5vhW3sbDhbH9Cz0tuDiY8C3ctxq1tqvaCgkFb8cCA/edit?usp=sharing"",""บึงกาฬ!I263"")"),90)</f>
        <v>90</v>
      </c>
      <c r="J368" s="189">
        <f ca="1">IFERROR(__xludf.DUMMYFUNCTION("IMPORTRANGE(""https://docs.google.com/spreadsheets/d/1XL5vhW3sbDhbH9Cz0tuDiY8C3ctxq1tqvaCgkFb8cCA/edit?usp=sharing"",""บึงกาฬ!J263"")"),0)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IFERROR(__xludf.DUMMYFUNCTION("IMPORTRANGE(""https://docs.google.com/spreadsheets/d/1XL5vhW3sbDhbH9Cz0tuDiY8C3ctxq1tqvaCgkFb8cCA/edit?usp=sharing"",""บึงกาฬ!I164"")"),0)</f>
        <v>0</v>
      </c>
      <c r="J369" s="205">
        <f ca="1">IFERROR(__xludf.DUMMYFUNCTION("IMPORTRANGE(""https://docs.google.com/spreadsheets/d/1XL5vhW3sbDhbH9Cz0tuDiY8C3ctxq1tqvaCgkFb8cCA/edit?usp=sharing"",""บึงกาฬ!J164"")"),0)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IFERROR(__xludf.DUMMYFUNCTION("IMPORTRANGE(""https://docs.google.com/spreadsheets/d/1XL5vhW3sbDhbH9Cz0tuDiY8C3ctxq1tqvaCgkFb8cCA/edit?usp=sharing"",""บึงกาฬ!I265"")"),90)</f>
        <v>90</v>
      </c>
      <c r="J370" s="205">
        <f ca="1">IFERROR(__xludf.DUMMYFUNCTION("IMPORTRANGE(""https://docs.google.com/spreadsheets/d/1XL5vhW3sbDhbH9Cz0tuDiY8C3ctxq1tqvaCgkFb8cCA/edit?usp=sharing"",""บึงกาฬ!J265"")"),34)</f>
        <v>34</v>
      </c>
      <c r="K370" s="165">
        <f t="shared" ca="1" si="106"/>
        <v>37.777777777777779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IFERROR(__xludf.DUMMYFUNCTION("IMPORTRANGE(""https://docs.google.com/spreadsheets/d/1XL5vhW3sbDhbH9Cz0tuDiY8C3ctxq1tqvaCgkFb8cCA/edit?usp=sharing"",""บึงกาฬ!I164"")"),0)</f>
        <v>0</v>
      </c>
      <c r="J371" s="190">
        <f ca="1">IFERROR(__xludf.DUMMYFUNCTION("IMPORTRANGE(""https://docs.google.com/spreadsheets/d/1XL5vhW3sbDhbH9Cz0tuDiY8C3ctxq1tqvaCgkFb8cCA/edit?usp=sharing"",""บึงกาฬ!J164"")"),0)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IFERROR(__xludf.DUMMYFUNCTION("IMPORTRANGE(""https://docs.google.com/spreadsheets/d/1XL5vhW3sbDhbH9Cz0tuDiY8C3ctxq1tqvaCgkFb8cCA/edit?usp=sharing"",""บึงกาฬ!I267"")"),90)</f>
        <v>90</v>
      </c>
      <c r="J372" s="190">
        <f ca="1">IFERROR(__xludf.DUMMYFUNCTION("IMPORTRANGE(""https://docs.google.com/spreadsheets/d/1XL5vhW3sbDhbH9Cz0tuDiY8C3ctxq1tqvaCgkFb8cCA/edit?usp=sharing"",""บึงกาฬ!J267"")"),0)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IFERROR(__xludf.DUMMYFUNCTION("IMPORTRANGE(""https://docs.google.com/spreadsheets/d/1XL5vhW3sbDhbH9Cz0tuDiY8C3ctxq1tqvaCgkFb8cCA/edit?usp=sharing"",""บึงกาฬ!I164"")"),0)</f>
        <v>0</v>
      </c>
      <c r="J373" s="205">
        <f ca="1">IFERROR(__xludf.DUMMYFUNCTION("IMPORTRANGE(""https://docs.google.com/spreadsheets/d/1XL5vhW3sbDhbH9Cz0tuDiY8C3ctxq1tqvaCgkFb8cCA/edit?usp=sharing"",""บึงกาฬ!J164"")"),0)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IFERROR(__xludf.DUMMYFUNCTION("IMPORTRANGE(""https://docs.google.com/spreadsheets/d/1XL5vhW3sbDhbH9Cz0tuDiY8C3ctxq1tqvaCgkFb8cCA/edit?usp=sharing"",""บึงกาฬ!I164"")"),0)</f>
        <v>0</v>
      </c>
      <c r="J374" s="189">
        <f ca="1">IFERROR(__xludf.DUMMYFUNCTION("IMPORTRANGE(""https://docs.google.com/spreadsheets/d/1XL5vhW3sbDhbH9Cz0tuDiY8C3ctxq1tqvaCgkFb8cCA/edit?usp=sharing"",""บึงกาฬ!J164"")"),0)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IFERROR(__xludf.DUMMYFUNCTION("IMPORTRANGE(""https://docs.google.com/spreadsheets/d/1XL5vhW3sbDhbH9Cz0tuDiY8C3ctxq1tqvaCgkFb8cCA/edit?usp=sharing"",""บึงกาฬ!I270"")"),150)</f>
        <v>150</v>
      </c>
      <c r="J375" s="189">
        <f ca="1">IFERROR(__xludf.DUMMYFUNCTION("IMPORTRANGE(""https://docs.google.com/spreadsheets/d/1XL5vhW3sbDhbH9Cz0tuDiY8C3ctxq1tqvaCgkFb8cCA/edit?usp=sharing"",""บึงกาฬ!J270"")"),0)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IFERROR(__xludf.DUMMYFUNCTION("IMPORTRANGE(""https://docs.google.com/spreadsheets/d/1XL5vhW3sbDhbH9Cz0tuDiY8C3ctxq1tqvaCgkFb8cCA/edit?usp=sharing"",""บึงกาฬ!I271"")"),90)</f>
        <v>90</v>
      </c>
      <c r="J376" s="190">
        <f ca="1">IFERROR(__xludf.DUMMYFUNCTION("IMPORTRANGE(""https://docs.google.com/spreadsheets/d/1XL5vhW3sbDhbH9Cz0tuDiY8C3ctxq1tqvaCgkFb8cCA/edit?usp=sharing"",""บึงกาฬ!J271"")"),0)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IFERROR(__xludf.DUMMYFUNCTION("IMPORTRANGE(""https://docs.google.com/spreadsheets/d/1XL5vhW3sbDhbH9Cz0tuDiY8C3ctxq1tqvaCgkFb8cCA/edit?usp=sharing"",""บึงกาฬ!I272"")"),60)</f>
        <v>60</v>
      </c>
      <c r="J377" s="205">
        <f ca="1">IFERROR(__xludf.DUMMYFUNCTION("IMPORTRANGE(""https://docs.google.com/spreadsheets/d/1XL5vhW3sbDhbH9Cz0tuDiY8C3ctxq1tqvaCgkFb8cCA/edit?usp=sharing"",""บึงกาฬ!J272"")"),0)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IFERROR(__xludf.DUMMYFUNCTION("IMPORTRANGE(""https://docs.google.com/spreadsheets/d/1XL5vhW3sbDhbH9Cz0tuDiY8C3ctxq1tqvaCgkFb8cCA/edit?usp=sharing"",""บึงกาฬ!J273"")"),0)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IFERROR(__xludf.DUMMYFUNCTION("IMPORTRANGE(""https://docs.google.com/spreadsheets/d/1XL5vhW3sbDhbH9Cz0tuDiY8C3ctxq1tqvaCgkFb8cCA/edit?usp=sharing"",""บึงกาฬ!M275"")"),106305)</f>
        <v>106305</v>
      </c>
      <c r="O380" s="373">
        <f ca="1">+IF(L380&gt;0,N380*100/L380,0)</f>
        <v>10.335725119589313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IFERROR(__xludf.DUMMYFUNCTION("IMPORTRANGE(""https://docs.google.com/spreadsheets/d/1XL5vhW3sbDhbH9Cz0tuDiY8C3ctxq1tqvaCgkFb8cCA/edit?usp=sharing"",""บึงกาฬ!L277"")"),0)</f>
        <v>0</v>
      </c>
      <c r="M382" s="166"/>
      <c r="N382" s="166">
        <f ca="1">IFERROR(__xludf.DUMMYFUNCTION("IMPORTRANGE(""https://docs.google.com/spreadsheets/d/1XL5vhW3sbDhbH9Cz0tuDiY8C3ctxq1tqvaCgkFb8cCA/edit?usp=sharing"",""บึงกาฬ!M277"")"),0)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IFERROR(__xludf.DUMMYFUNCTION("IMPORTRANGE(""https://docs.google.com/spreadsheets/d/1XL5vhW3sbDhbH9Cz0tuDiY8C3ctxq1tqvaCgkFb8cCA/edit?usp=sharing"",""บึงกาฬ!L278"")"),1028520)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IFERROR(__xludf.DUMMYFUNCTION("IMPORTRANGE(""https://docs.google.com/spreadsheets/d/1XL5vhW3sbDhbH9Cz0tuDiY8C3ctxq1tqvaCgkFb8cCA/edit?usp=sharing"",""บึงกาฬ!M278"")"),106305)</f>
        <v>106305</v>
      </c>
      <c r="O383" s="167">
        <f t="shared" ca="1" si="109"/>
        <v>10.335725119589313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IFERROR(__xludf.DUMMYFUNCTION("IMPORTRANGE(""https://docs.google.com/spreadsheets/d/1XL5vhW3sbDhbH9Cz0tuDiY8C3ctxq1tqvaCgkFb8cCA/edit?usp=sharing"",""บึงกาฬ!L279"")"),0)</f>
        <v>0</v>
      </c>
      <c r="M384" s="170"/>
      <c r="N384" s="170">
        <f ca="1">IFERROR(__xludf.DUMMYFUNCTION("IMPORTRANGE(""https://docs.google.com/spreadsheets/d/1XL5vhW3sbDhbH9Cz0tuDiY8C3ctxq1tqvaCgkFb8cCA/edit?usp=sharing"",""บึงกาฬ!M279"")"),0)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IFERROR(__xludf.DUMMYFUNCTION("IMPORTRANGE(""https://docs.google.com/spreadsheets/d/1XL5vhW3sbDhbH9Cz0tuDiY8C3ctxq1tqvaCgkFb8cCA/edit?usp=sharing"",""บึงกาฬ!L280"")"),1028520)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IFERROR(__xludf.DUMMYFUNCTION("IMPORTRANGE(""https://docs.google.com/spreadsheets/d/1XL5vhW3sbDhbH9Cz0tuDiY8C3ctxq1tqvaCgkFb8cCA/edit?usp=sharing"",""บึงกาฬ!M280"")"),106305)</f>
        <v>106305</v>
      </c>
      <c r="O385" s="170">
        <f t="shared" ca="1" si="109"/>
        <v>10.335725119589313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IFERROR(__xludf.DUMMYFUNCTION("IMPORTRANGE(""https://docs.google.com/spreadsheets/d/1XL5vhW3sbDhbH9Cz0tuDiY8C3ctxq1tqvaCgkFb8cCA/edit?usp=sharing"",""บึงกาฬ!M281"")"),55795)</f>
        <v>55795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IFERROR(__xludf.DUMMYFUNCTION("IMPORTRANGE(""https://docs.google.com/spreadsheets/d/1XL5vhW3sbDhbH9Cz0tuDiY8C3ctxq1tqvaCgkFb8cCA/edit?usp=sharing"",""บึงกาฬ!M283"")"),39000)</f>
        <v>39000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IFERROR(__xludf.DUMMYFUNCTION("IMPORTRANGE(""https://docs.google.com/spreadsheets/d/1XL5vhW3sbDhbH9Cz0tuDiY8C3ctxq1tqvaCgkFb8cCA/edit?usp=sharing"",""บึงกาฬ!M284"")"),11510)</f>
        <v>11510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IFERROR(__xludf.DUMMYFUNCTION("IMPORTRANGE(""https://docs.google.com/spreadsheets/d/1XL5vhW3sbDhbH9Cz0tuDiY8C3ctxq1tqvaCgkFb8cCA/edit?usp=sharing"",""บึงกาฬ!J286"")"),0)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IFERROR(__xludf.DUMMYFUNCTION("IMPORTRANGE(""https://docs.google.com/spreadsheets/d/1XL5vhW3sbDhbH9Cz0tuDiY8C3ctxq1tqvaCgkFb8cCA/edit?usp=sharing"",""บึงกาฬ!J287"")"),1)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IFERROR(__xludf.DUMMYFUNCTION("IMPORTRANGE(""https://docs.google.com/spreadsheets/d/1XL5vhW3sbDhbH9Cz0tuDiY8C3ctxq1tqvaCgkFb8cCA/edit?usp=sharing"",""บึงกาฬ!J288"")"),1)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IFERROR(__xludf.DUMMYFUNCTION("IMPORTRANGE(""https://docs.google.com/spreadsheets/d/1XL5vhW3sbDhbH9Cz0tuDiY8C3ctxq1tqvaCgkFb8cCA/edit?usp=sharing"",""บึงกาฬ!J289"")"),1)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IFERROR(__xludf.DUMMYFUNCTION("IMPORTRANGE(""https://docs.google.com/spreadsheets/d/1XL5vhW3sbDhbH9Cz0tuDiY8C3ctxq1tqvaCgkFb8cCA/edit?usp=sharing"",""บึงกาฬ!I291"")"),100)</f>
        <v>100</v>
      </c>
      <c r="J396" s="199">
        <f ca="1">IFERROR(__xludf.DUMMYFUNCTION("IMPORTRANGE(""https://docs.google.com/spreadsheets/d/1XL5vhW3sbDhbH9Cz0tuDiY8C3ctxq1tqvaCgkFb8cCA/edit?usp=sharing"",""บึงกาฬ!J291"")"),100)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IFERROR(__xludf.DUMMYFUNCTION("IMPORTRANGE(""https://docs.google.com/spreadsheets/d/1XL5vhW3sbDhbH9Cz0tuDiY8C3ctxq1tqvaCgkFb8cCA/edit?usp=sharing"",""บึงกาฬ!I292"")"),1000)</f>
        <v>1000</v>
      </c>
      <c r="J397" s="199">
        <f ca="1">IFERROR(__xludf.DUMMYFUNCTION("IMPORTRANGE(""https://docs.google.com/spreadsheets/d/1XL5vhW3sbDhbH9Cz0tuDiY8C3ctxq1tqvaCgkFb8cCA/edit?usp=sharing"",""บึงกาฬ!J292"")"),0)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IFERROR(__xludf.DUMMYFUNCTION("IMPORTRANGE(""https://docs.google.com/spreadsheets/d/1XL5vhW3sbDhbH9Cz0tuDiY8C3ctxq1tqvaCgkFb8cCA/edit?usp=sharing"",""บึงกาฬ!I293"")"),100)</f>
        <v>100</v>
      </c>
      <c r="J398" s="199">
        <f ca="1">IFERROR(__xludf.DUMMYFUNCTION("IMPORTRANGE(""https://docs.google.com/spreadsheets/d/1XL5vhW3sbDhbH9Cz0tuDiY8C3ctxq1tqvaCgkFb8cCA/edit?usp=sharing"",""บึงกาฬ!J293"")"),0)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IFERROR(__xludf.DUMMYFUNCTION("IMPORTRANGE(""https://docs.google.com/spreadsheets/d/1XL5vhW3sbDhbH9Cz0tuDiY8C3ctxq1tqvaCgkFb8cCA/edit?usp=sharing"",""บึงกาฬ!J294"")"),0)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IFERROR(__xludf.DUMMYFUNCTION("IMPORTRANGE(""https://docs.google.com/spreadsheets/d/1XL5vhW3sbDhbH9Cz0tuDiY8C3ctxq1tqvaCgkFb8cCA/edit?usp=sharing"",""บึงกาฬ!M296"")"),0)</f>
        <v>0</v>
      </c>
      <c r="O401" s="373">
        <f ca="1">+IF(L401&gt;0,N401*100/L401,0)</f>
        <v>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IFERROR(__xludf.DUMMYFUNCTION("IMPORTRANGE(""https://docs.google.com/spreadsheets/d/1XL5vhW3sbDhbH9Cz0tuDiY8C3ctxq1tqvaCgkFb8cCA/edit?usp=sharing"",""บึงกาฬ!L298"")"),0)</f>
        <v>0</v>
      </c>
      <c r="M403" s="166"/>
      <c r="N403" s="170">
        <f ca="1">IFERROR(__xludf.DUMMYFUNCTION("IMPORTRANGE(""https://docs.google.com/spreadsheets/d/1XL5vhW3sbDhbH9Cz0tuDiY8C3ctxq1tqvaCgkFb8cCA/edit?usp=sharing"",""บึงกาฬ!M298"")"),0)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IFERROR(__xludf.DUMMYFUNCTION("IMPORTRANGE(""https://docs.google.com/spreadsheets/d/1XL5vhW3sbDhbH9Cz0tuDiY8C3ctxq1tqvaCgkFb8cCA/edit?usp=sharing"",""บึงกาฬ!L299"")"),144560)</f>
        <v>144560</v>
      </c>
      <c r="M404" s="167"/>
      <c r="N404" s="170">
        <f ca="1">IFERROR(__xludf.DUMMYFUNCTION("IMPORTRANGE(""https://docs.google.com/spreadsheets/d/1XL5vhW3sbDhbH9Cz0tuDiY8C3ctxq1tqvaCgkFb8cCA/edit?usp=sharing"",""บึงกาฬ!M299"")"),0)</f>
        <v>0</v>
      </c>
      <c r="O404" s="170">
        <f t="shared" ca="1" si="112"/>
        <v>0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IFERROR(__xludf.DUMMYFUNCTION("IMPORTRANGE(""https://docs.google.com/spreadsheets/d/1XL5vhW3sbDhbH9Cz0tuDiY8C3ctxq1tqvaCgkFb8cCA/edit?usp=sharing"",""บึงกาฬ!L300"")"),0)</f>
        <v>0</v>
      </c>
      <c r="M405" s="170"/>
      <c r="N405" s="170">
        <f ca="1">IFERROR(__xludf.DUMMYFUNCTION("IMPORTRANGE(""https://docs.google.com/spreadsheets/d/1XL5vhW3sbDhbH9Cz0tuDiY8C3ctxq1tqvaCgkFb8cCA/edit?usp=sharing"",""บึงกาฬ!M300"")"),0)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IFERROR(__xludf.DUMMYFUNCTION("IMPORTRANGE(""https://docs.google.com/spreadsheets/d/1XL5vhW3sbDhbH9Cz0tuDiY8C3ctxq1tqvaCgkFb8cCA/edit?usp=sharing"",""บึงกาฬ!L301"")"),144560)</f>
        <v>144560</v>
      </c>
      <c r="M406" s="170"/>
      <c r="N406" s="170">
        <f ca="1">IFERROR(__xludf.DUMMYFUNCTION("IMPORTRANGE(""https://docs.google.com/spreadsheets/d/1XL5vhW3sbDhbH9Cz0tuDiY8C3ctxq1tqvaCgkFb8cCA/edit?usp=sharing"",""บึงกาฬ!M301"")"),0)</f>
        <v>0</v>
      </c>
      <c r="O406" s="170">
        <f t="shared" ca="1" si="112"/>
        <v>0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IFERROR(__xludf.DUMMYFUNCTION("IMPORTRANGE(""https://docs.google.com/spreadsheets/d/1XL5vhW3sbDhbH9Cz0tuDiY8C3ctxq1tqvaCgkFb8cCA/edit?usp=sharing"",""บึงกาฬ!M302"")"),0)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IFERROR(__xludf.DUMMYFUNCTION("IMPORTRANGE(""https://docs.google.com/spreadsheets/d/1XL5vhW3sbDhbH9Cz0tuDiY8C3ctxq1tqvaCgkFb8cCA/edit?usp=sharing"",""บึงกาฬ!M305"")"),0)</f>
        <v>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IFERROR(__xludf.DUMMYFUNCTION("IMPORTRANGE(""https://docs.google.com/spreadsheets/d/1XL5vhW3sbDhbH9Cz0tuDiY8C3ctxq1tqvaCgkFb8cCA/edit?usp=sharing"",""บึงกาฬ!J307"")"),0)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IFERROR(__xludf.DUMMYFUNCTION("IMPORTRANGE(""https://docs.google.com/spreadsheets/d/1XL5vhW3sbDhbH9Cz0tuDiY8C3ctxq1tqvaCgkFb8cCA/edit?usp=sharing"",""บึงกาฬ!J308"")"),1)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IFERROR(__xludf.DUMMYFUNCTION("IMPORTRANGE(""https://docs.google.com/spreadsheets/d/1XL5vhW3sbDhbH9Cz0tuDiY8C3ctxq1tqvaCgkFb8cCA/edit?usp=sharing"",""บึงกาฬ!J309"")"),1)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IFERROR(__xludf.DUMMYFUNCTION("IMPORTRANGE(""https://docs.google.com/spreadsheets/d/1XL5vhW3sbDhbH9Cz0tuDiY8C3ctxq1tqvaCgkFb8cCA/edit?usp=sharing"",""บึงกาฬ!J310"")"),0)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IFERROR(__xludf.DUMMYFUNCTION("IMPORTRANGE(""https://docs.google.com/spreadsheets/d/1XL5vhW3sbDhbH9Cz0tuDiY8C3ctxq1tqvaCgkFb8cCA/edit?usp=sharing"",""บึงกาฬ!I311"")"),40)</f>
        <v>40</v>
      </c>
      <c r="J416" s="202">
        <f ca="1">IFERROR(__xludf.DUMMYFUNCTION("IMPORTRANGE(""https://docs.google.com/spreadsheets/d/1XL5vhW3sbDhbH9Cz0tuDiY8C3ctxq1tqvaCgkFb8cCA/edit?usp=sharing"",""บึงกาฬ!J311"")"),0)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IFERROR(__xludf.DUMMYFUNCTION("IMPORTRANGE(""https://docs.google.com/spreadsheets/d/1XL5vhW3sbDhbH9Cz0tuDiY8C3ctxq1tqvaCgkFb8cCA/edit?usp=sharing"",""บึงกาฬ!J328"")"),0)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IFERROR(__xludf.DUMMYFUNCTION("IMPORTRANGE(""https://docs.google.com/spreadsheets/d/1XL5vhW3sbDhbH9Cz0tuDiY8C3ctxq1tqvaCgkFb8cCA/edit?usp=sharing"",""บึงกาฬ!M330"")"),0)</f>
        <v>0</v>
      </c>
      <c r="O435" s="412">
        <f t="shared" ref="O435:O439" ca="1" si="114">+IF(L435&gt;0,N435*100/L435,0)</f>
        <v>0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IFERROR(__xludf.DUMMYFUNCTION("IMPORTRANGE(""https://docs.google.com/spreadsheets/d/1XL5vhW3sbDhbH9Cz0tuDiY8C3ctxq1tqvaCgkFb8cCA/edit?usp=sharing"",""บึงกาฬ!L331"")"),0)</f>
        <v>0</v>
      </c>
      <c r="M436" s="166"/>
      <c r="N436" s="170">
        <f ca="1">IFERROR(__xludf.DUMMYFUNCTION("IMPORTRANGE(""https://docs.google.com/spreadsheets/d/1XL5vhW3sbDhbH9Cz0tuDiY8C3ctxq1tqvaCgkFb8cCA/edit?usp=sharing"",""บึงกาฬ!M331"")"),0)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IFERROR(__xludf.DUMMYFUNCTION("IMPORTRANGE(""https://docs.google.com/spreadsheets/d/1XL5vhW3sbDhbH9Cz0tuDiY8C3ctxq1tqvaCgkFb8cCA/edit?usp=sharing"",""บึงกาฬ!L332"")"),110500)</f>
        <v>110500</v>
      </c>
      <c r="M437" s="167"/>
      <c r="N437" s="170">
        <f ca="1">IFERROR(__xludf.DUMMYFUNCTION("IMPORTRANGE(""https://docs.google.com/spreadsheets/d/1XL5vhW3sbDhbH9Cz0tuDiY8C3ctxq1tqvaCgkFb8cCA/edit?usp=sharing"",""บึงกาฬ!M332"")"),0)</f>
        <v>0</v>
      </c>
      <c r="O437" s="170">
        <f t="shared" ca="1" si="114"/>
        <v>0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IFERROR(__xludf.DUMMYFUNCTION("IMPORTRANGE(""https://docs.google.com/spreadsheets/d/1XL5vhW3sbDhbH9Cz0tuDiY8C3ctxq1tqvaCgkFb8cCA/edit?usp=sharing"",""บึงกาฬ!L333"")"),0)</f>
        <v>0</v>
      </c>
      <c r="M438" s="170"/>
      <c r="N438" s="170">
        <f ca="1">IFERROR(__xludf.DUMMYFUNCTION("IMPORTRANGE(""https://docs.google.com/spreadsheets/d/1XL5vhW3sbDhbH9Cz0tuDiY8C3ctxq1tqvaCgkFb8cCA/edit?usp=sharing"",""บึงกาฬ!M333"")"),0)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IFERROR(__xludf.DUMMYFUNCTION("IMPORTRANGE(""https://docs.google.com/spreadsheets/d/1XL5vhW3sbDhbH9Cz0tuDiY8C3ctxq1tqvaCgkFb8cCA/edit?usp=sharing"",""บึงกาฬ!L334"")"),110500)</f>
        <v>110500</v>
      </c>
      <c r="M439" s="170"/>
      <c r="N439" s="170">
        <f ca="1">IFERROR(__xludf.DUMMYFUNCTION("IMPORTRANGE(""https://docs.google.com/spreadsheets/d/1XL5vhW3sbDhbH9Cz0tuDiY8C3ctxq1tqvaCgkFb8cCA/edit?usp=sharing"",""บึงกาฬ!M334"")"),0)</f>
        <v>0</v>
      </c>
      <c r="O439" s="170">
        <f t="shared" ca="1" si="114"/>
        <v>0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IFERROR(__xludf.DUMMYFUNCTION("IMPORTRANGE(""https://docs.google.com/spreadsheets/d/1XL5vhW3sbDhbH9Cz0tuDiY8C3ctxq1tqvaCgkFb8cCA/edit?usp=sharing"",""บึงกาฬ!M335"")"),0)</f>
        <v>0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IFERROR(__xludf.DUMMYFUNCTION("IMPORTRANGE(""https://docs.google.com/spreadsheets/d/1XL5vhW3sbDhbH9Cz0tuDiY8C3ctxq1tqvaCgkFb8cCA/edit?usp=sharing"",""บึงกาฬ!M338"")"),0)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IFERROR(__xludf.DUMMYFUNCTION("IMPORTRANGE(""https://docs.google.com/spreadsheets/d/1XL5vhW3sbDhbH9Cz0tuDiY8C3ctxq1tqvaCgkFb8cCA/edit?usp=sharing"",""บึงกาฬ!J342"")"),0)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IFERROR(__xludf.DUMMYFUNCTION("IMPORTRANGE(""https://docs.google.com/spreadsheets/d/1XL5vhW3sbDhbH9Cz0tuDiY8C3ctxq1tqvaCgkFb8cCA/edit?usp=sharing"",""บึงกาฬ!J343"")"),0)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2">
        <f ca="1">IFERROR(__xludf.DUMMYFUNCTION("IMPORTRANGE(""https://docs.google.com/spreadsheets/d/1XL5vhW3sbDhbH9Cz0tuDiY8C3ctxq1tqvaCgkFb8cCA/edit?usp=sharing"",""บึงกาฬ!J344"")"),0)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IFERROR(__xludf.DUMMYFUNCTION("IMPORTRANGE(""https://docs.google.com/spreadsheets/d/1XL5vhW3sbDhbH9Cz0tuDiY8C3ctxq1tqvaCgkFb8cCA/edit?usp=sharing"",""บึงกาฬ!I345"")"),25)</f>
        <v>25</v>
      </c>
      <c r="J450" s="190">
        <f ca="1">IFERROR(__xludf.DUMMYFUNCTION("IMPORTRANGE(""https://docs.google.com/spreadsheets/d/1XL5vhW3sbDhbH9Cz0tuDiY8C3ctxq1tqvaCgkFb8cCA/edit?usp=sharing"",""บึงกาฬ!J345"")"),0)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IFERROR(__xludf.DUMMYFUNCTION("IMPORTRANGE(""https://docs.google.com/spreadsheets/d/1XL5vhW3sbDhbH9Cz0tuDiY8C3ctxq1tqvaCgkFb8cCA/edit?usp=sharing"",""บึงกาฬ!I346"")"),0)</f>
        <v>0</v>
      </c>
      <c r="J451" s="189">
        <f ca="1">IFERROR(__xludf.DUMMYFUNCTION("IMPORTRANGE(""https://docs.google.com/spreadsheets/d/1XL5vhW3sbDhbH9Cz0tuDiY8C3ctxq1tqvaCgkFb8cCA/edit?usp=sharing"",""บึงกาฬ!J346"")"),0)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IFERROR(__xludf.DUMMYFUNCTION("IMPORTRANGE(""https://docs.google.com/spreadsheets/d/1XL5vhW3sbDhbH9Cz0tuDiY8C3ctxq1tqvaCgkFb8cCA/edit?usp=sharing"",""บึงกาฬ!I347"")"),0)</f>
        <v>0</v>
      </c>
      <c r="J452" s="189">
        <f ca="1">IFERROR(__xludf.DUMMYFUNCTION("IMPORTRANGE(""https://docs.google.com/spreadsheets/d/1XL5vhW3sbDhbH9Cz0tuDiY8C3ctxq1tqvaCgkFb8cCA/edit?usp=sharing"",""บึงกาฬ!J347"")"),0)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IFERROR(__xludf.DUMMYFUNCTION("IMPORTRANGE(""https://docs.google.com/spreadsheets/d/1XL5vhW3sbDhbH9Cz0tuDiY8C3ctxq1tqvaCgkFb8cCA/edit?usp=sharing"",""บึงกาฬ!J348"")"),0)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IFERROR(__xludf.DUMMYFUNCTION("IMPORTRANGE(""https://docs.google.com/spreadsheets/d/1XL5vhW3sbDhbH9Cz0tuDiY8C3ctxq1tqvaCgkFb8cCA/edit?usp=sharing"",""บึงกาฬ!L350"")"),381845)</f>
        <v>381845</v>
      </c>
      <c r="M455" s="373"/>
      <c r="N455" s="373">
        <f ca="1">IFERROR(__xludf.DUMMYFUNCTION("IMPORTRANGE(""https://docs.google.com/spreadsheets/d/1XL5vhW3sbDhbH9Cz0tuDiY8C3ctxq1tqvaCgkFb8cCA/edit?usp=sharing"",""บึงกาฬ!M350"")"),720)</f>
        <v>720</v>
      </c>
      <c r="O455" s="373">
        <f t="shared" ref="O455:O459" ca="1" si="116">+IF(L455&gt;0,N455*100/L455,0)</f>
        <v>0.18855818460370044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IFERROR(__xludf.DUMMYFUNCTION("IMPORTRANGE(""https://docs.google.com/spreadsheets/d/1XL5vhW3sbDhbH9Cz0tuDiY8C3ctxq1tqvaCgkFb8cCA/edit?usp=sharing"",""บึงกาฬ!L351"")"),0)</f>
        <v>0</v>
      </c>
      <c r="M456" s="166"/>
      <c r="N456" s="170">
        <f ca="1">IFERROR(__xludf.DUMMYFUNCTION("IMPORTRANGE(""https://docs.google.com/spreadsheets/d/1XL5vhW3sbDhbH9Cz0tuDiY8C3ctxq1tqvaCgkFb8cCA/edit?usp=sharing"",""บึงกาฬ!M351"")"),0)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IFERROR(__xludf.DUMMYFUNCTION("IMPORTRANGE(""https://docs.google.com/spreadsheets/d/1XL5vhW3sbDhbH9Cz0tuDiY8C3ctxq1tqvaCgkFb8cCA/edit?usp=sharing"",""บึงกาฬ!L352"")"),381845)</f>
        <v>381845</v>
      </c>
      <c r="M457" s="167"/>
      <c r="N457" s="170">
        <f ca="1">IFERROR(__xludf.DUMMYFUNCTION("IMPORTRANGE(""https://docs.google.com/spreadsheets/d/1XL5vhW3sbDhbH9Cz0tuDiY8C3ctxq1tqvaCgkFb8cCA/edit?usp=sharing"",""บึงกาฬ!M352"")"),720)</f>
        <v>720</v>
      </c>
      <c r="O457" s="170">
        <f t="shared" ca="1" si="116"/>
        <v>0.18855818460370044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IFERROR(__xludf.DUMMYFUNCTION("IMPORTRANGE(""https://docs.google.com/spreadsheets/d/1XL5vhW3sbDhbH9Cz0tuDiY8C3ctxq1tqvaCgkFb8cCA/edit?usp=sharing"",""บึงกาฬ!L353"")"),0)</f>
        <v>0</v>
      </c>
      <c r="M458" s="170"/>
      <c r="N458" s="170">
        <f ca="1">IFERROR(__xludf.DUMMYFUNCTION("IMPORTRANGE(""https://docs.google.com/spreadsheets/d/1XL5vhW3sbDhbH9Cz0tuDiY8C3ctxq1tqvaCgkFb8cCA/edit?usp=sharing"",""บึงกาฬ!M353"")"),0)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IFERROR(__xludf.DUMMYFUNCTION("IMPORTRANGE(""https://docs.google.com/spreadsheets/d/1XL5vhW3sbDhbH9Cz0tuDiY8C3ctxq1tqvaCgkFb8cCA/edit?usp=sharing"",""บึงกาฬ!L354"")"),381845)</f>
        <v>381845</v>
      </c>
      <c r="M459" s="170"/>
      <c r="N459" s="170">
        <f ca="1">IFERROR(__xludf.DUMMYFUNCTION("IMPORTRANGE(""https://docs.google.com/spreadsheets/d/1XL5vhW3sbDhbH9Cz0tuDiY8C3ctxq1tqvaCgkFb8cCA/edit?usp=sharing"",""บึงกาฬ!M354"")"),720)</f>
        <v>720</v>
      </c>
      <c r="O459" s="170">
        <f t="shared" ca="1" si="116"/>
        <v>0.18855818460370044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IFERROR(__xludf.DUMMYFUNCTION("IMPORTRANGE(""https://docs.google.com/spreadsheets/d/1XL5vhW3sbDhbH9Cz0tuDiY8C3ctxq1tqvaCgkFb8cCA/edit?usp=sharing"",""บึงกาฬ!M355"")"),0)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IFERROR(__xludf.DUMMYFUNCTION("IMPORTRANGE(""https://docs.google.com/spreadsheets/d/1XL5vhW3sbDhbH9Cz0tuDiY8C3ctxq1tqvaCgkFb8cCA/edit?usp=sharing"",""บึงกาฬ!M356"")"),0)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IFERROR(__xludf.DUMMYFUNCTION("IMPORTRANGE(""https://docs.google.com/spreadsheets/d/1XL5vhW3sbDhbH9Cz0tuDiY8C3ctxq1tqvaCgkFb8cCA/edit?usp=sharing"",""บึงกาฬ!M358"")"),720)</f>
        <v>720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IFERROR(__xludf.DUMMYFUNCTION("IMPORTRANGE(""https://docs.google.com/spreadsheets/d/1XL5vhW3sbDhbH9Cz0tuDiY8C3ctxq1tqvaCgkFb8cCA/edit?usp=sharing"",""บึงกาฬ!I362"")"),0)</f>
        <v>0</v>
      </c>
      <c r="J467" s="190">
        <f ca="1">IFERROR(__xludf.DUMMYFUNCTION("IMPORTRANGE(""https://docs.google.com/spreadsheets/d/1XL5vhW3sbDhbH9Cz0tuDiY8C3ctxq1tqvaCgkFb8cCA/edit?usp=sharing"",""บึงกาฬ!J362"")"),32472)</f>
        <v>32472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IFERROR(__xludf.DUMMYFUNCTION("IMPORTRANGE(""https://docs.google.com/spreadsheets/d/1XL5vhW3sbDhbH9Cz0tuDiY8C3ctxq1tqvaCgkFb8cCA/edit?usp=sharing"",""บึงกาฬ!I363"")"),0)</f>
        <v>0</v>
      </c>
      <c r="J468" s="190">
        <f ca="1">IFERROR(__xludf.DUMMYFUNCTION("IMPORTRANGE(""https://docs.google.com/spreadsheets/d/1XL5vhW3sbDhbH9Cz0tuDiY8C3ctxq1tqvaCgkFb8cCA/edit?usp=sharing"",""บึงกาฬ!J363"")"),2246)</f>
        <v>2246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IFERROR(__xludf.DUMMYFUNCTION("IMPORTRANGE(""https://docs.google.com/spreadsheets/d/1XL5vhW3sbDhbH9Cz0tuDiY8C3ctxq1tqvaCgkFb8cCA/edit?usp=sharing"",""บึงกาฬ!I364"")"),0)</f>
        <v>0</v>
      </c>
      <c r="J469" s="190">
        <f ca="1">IFERROR(__xludf.DUMMYFUNCTION("IMPORTRANGE(""https://docs.google.com/spreadsheets/d/1XL5vhW3sbDhbH9Cz0tuDiY8C3ctxq1tqvaCgkFb8cCA/edit?usp=sharing"",""บึงกาฬ!J364"")"),6043)</f>
        <v>6043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IFERROR(__xludf.DUMMYFUNCTION("IMPORTRANGE(""https://docs.google.com/spreadsheets/d/1XL5vhW3sbDhbH9Cz0tuDiY8C3ctxq1tqvaCgkFb8cCA/edit?usp=sharing"",""บึงกาฬ!I365"")"),0)</f>
        <v>0</v>
      </c>
      <c r="J470" s="190">
        <f ca="1">IFERROR(__xludf.DUMMYFUNCTION("IMPORTRANGE(""https://docs.google.com/spreadsheets/d/1XL5vhW3sbDhbH9Cz0tuDiY8C3ctxq1tqvaCgkFb8cCA/edit?usp=sharing"",""บึงกาฬ!J365"")"),363)</f>
        <v>363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IFERROR(__xludf.DUMMYFUNCTION("IMPORTRANGE(""https://docs.google.com/spreadsheets/d/1XL5vhW3sbDhbH9Cz0tuDiY8C3ctxq1tqvaCgkFb8cCA/edit?usp=sharing"",""บึงกาฬ!I366"")"),0)</f>
        <v>0</v>
      </c>
      <c r="J471" s="190">
        <f ca="1">IFERROR(__xludf.DUMMYFUNCTION("IMPORTRANGE(""https://docs.google.com/spreadsheets/d/1XL5vhW3sbDhbH9Cz0tuDiY8C3ctxq1tqvaCgkFb8cCA/edit?usp=sharing"",""บึงกาฬ!J366"")"),173)</f>
        <v>173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IFERROR(__xludf.DUMMYFUNCTION("IMPORTRANGE(""https://docs.google.com/spreadsheets/d/1XL5vhW3sbDhbH9Cz0tuDiY8C3ctxq1tqvaCgkFb8cCA/edit?usp=sharing"",""บึงกาฬ!I367"")"),0)</f>
        <v>0</v>
      </c>
      <c r="J472" s="190">
        <f ca="1">IFERROR(__xludf.DUMMYFUNCTION("IMPORTRANGE(""https://docs.google.com/spreadsheets/d/1XL5vhW3sbDhbH9Cz0tuDiY8C3ctxq1tqvaCgkFb8cCA/edit?usp=sharing"",""บึงกาฬ!J367"")"),10)</f>
        <v>10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IFERROR(__xludf.DUMMYFUNCTION("IMPORTRANGE(""https://docs.google.com/spreadsheets/d/1XL5vhW3sbDhbH9Cz0tuDiY8C3ctxq1tqvaCgkFb8cCA/edit?usp=sharing"",""บึงกาฬ!J368"")"),1277)</f>
        <v>1277</v>
      </c>
      <c r="K473" s="203">
        <f t="shared" ca="1" si="117"/>
        <v>3.3007650951199339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IFERROR(__xludf.DUMMYFUNCTION("IMPORTRANGE(""https://docs.google.com/spreadsheets/d/1XL5vhW3sbDhbH9Cz0tuDiY8C3ctxq1tqvaCgkFb8cCA/edit?usp=sharing"",""บึงกาฬ!J369"")"),19810)</f>
        <v>19810</v>
      </c>
      <c r="K474" s="165">
        <f t="shared" ca="1" si="117"/>
        <v>756.39557082856049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IFERROR(__xludf.DUMMYFUNCTION("IMPORTRANGE(""https://docs.google.com/spreadsheets/d/1XL5vhW3sbDhbH9Cz0tuDiY8C3ctxq1tqvaCgkFb8cCA/edit?usp=sharing"",""บึงกาฬ!I370"")"),0)</f>
        <v>0</v>
      </c>
      <c r="J475" s="190">
        <f ca="1">IFERROR(__xludf.DUMMYFUNCTION("IMPORTRANGE(""https://docs.google.com/spreadsheets/d/1XL5vhW3sbDhbH9Cz0tuDiY8C3ctxq1tqvaCgkFb8cCA/edit?usp=sharing"",""บึงกาฬ!J370"")"),1213)</f>
        <v>1213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IFERROR(__xludf.DUMMYFUNCTION("IMPORTRANGE(""https://docs.google.com/spreadsheets/d/1XL5vhW3sbDhbH9Cz0tuDiY8C3ctxq1tqvaCgkFb8cCA/edit?usp=sharing"",""บึงกาฬ!I371"")"),0)</f>
        <v>0</v>
      </c>
      <c r="J476" s="190">
        <f ca="1">IFERROR(__xludf.DUMMYFUNCTION("IMPORTRANGE(""https://docs.google.com/spreadsheets/d/1XL5vhW3sbDhbH9Cz0tuDiY8C3ctxq1tqvaCgkFb8cCA/edit?usp=sharing"",""บึงกาฬ!J371"")"),18891)</f>
        <v>18891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IFERROR(__xludf.DUMMYFUNCTION("IMPORTRANGE(""https://docs.google.com/spreadsheets/d/1XL5vhW3sbDhbH9Cz0tuDiY8C3ctxq1tqvaCgkFb8cCA/edit?usp=sharing"",""บึงกาฬ!I372"")"),0)</f>
        <v>0</v>
      </c>
      <c r="J477" s="190">
        <f ca="1">IFERROR(__xludf.DUMMYFUNCTION("IMPORTRANGE(""https://docs.google.com/spreadsheets/d/1XL5vhW3sbDhbH9Cz0tuDiY8C3ctxq1tqvaCgkFb8cCA/edit?usp=sharing"",""บึงกาฬ!J372"")"),38)</f>
        <v>38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IFERROR(__xludf.DUMMYFUNCTION("IMPORTRANGE(""https://docs.google.com/spreadsheets/d/1XL5vhW3sbDhbH9Cz0tuDiY8C3ctxq1tqvaCgkFb8cCA/edit?usp=sharing"",""บึงกาฬ!I373"")"),0)</f>
        <v>0</v>
      </c>
      <c r="J478" s="190">
        <f ca="1">IFERROR(__xludf.DUMMYFUNCTION("IMPORTRANGE(""https://docs.google.com/spreadsheets/d/1XL5vhW3sbDhbH9Cz0tuDiY8C3ctxq1tqvaCgkFb8cCA/edit?usp=sharing"",""บึงกาฬ!J373"")"),584)</f>
        <v>584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IFERROR(__xludf.DUMMYFUNCTION("IMPORTRANGE(""https://docs.google.com/spreadsheets/d/1XL5vhW3sbDhbH9Cz0tuDiY8C3ctxq1tqvaCgkFb8cCA/edit?usp=sharing"",""บึงกาฬ!I374"")"),0)</f>
        <v>0</v>
      </c>
      <c r="J479" s="190">
        <f ca="1">IFERROR(__xludf.DUMMYFUNCTION("IMPORTRANGE(""https://docs.google.com/spreadsheets/d/1XL5vhW3sbDhbH9Cz0tuDiY8C3ctxq1tqvaCgkFb8cCA/edit?usp=sharing"",""บึงกาฬ!J374"")"),26)</f>
        <v>26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IFERROR(__xludf.DUMMYFUNCTION("IMPORTRANGE(""https://docs.google.com/spreadsheets/d/1XL5vhW3sbDhbH9Cz0tuDiY8C3ctxq1tqvaCgkFb8cCA/edit?usp=sharing"",""บึงกาฬ!I375"")"),0)</f>
        <v>0</v>
      </c>
      <c r="J480" s="190">
        <f ca="1">IFERROR(__xludf.DUMMYFUNCTION("IMPORTRANGE(""https://docs.google.com/spreadsheets/d/1XL5vhW3sbDhbH9Cz0tuDiY8C3ctxq1tqvaCgkFb8cCA/edit?usp=sharing"",""บึงกาฬ!J375"")"),335)</f>
        <v>335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IFERROR(__xludf.DUMMYFUNCTION("IMPORTRANGE(""https://docs.google.com/spreadsheets/d/1XL5vhW3sbDhbH9Cz0tuDiY8C3ctxq1tqvaCgkFb8cCA/edit?usp=sharing"",""บึงกาฬ!I378"")"),0)</f>
        <v>0</v>
      </c>
      <c r="J483" s="190">
        <f ca="1">IFERROR(__xludf.DUMMYFUNCTION("IMPORTRANGE(""https://docs.google.com/spreadsheets/d/1XL5vhW3sbDhbH9Cz0tuDiY8C3ctxq1tqvaCgkFb8cCA/edit?usp=sharing"",""บึงกาฬ!J378"")"),0)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IFERROR(__xludf.DUMMYFUNCTION("IMPORTRANGE(""https://docs.google.com/spreadsheets/d/1XL5vhW3sbDhbH9Cz0tuDiY8C3ctxq1tqvaCgkFb8cCA/edit?usp=sharing"",""บึงกาฬ!I379"")"),0)</f>
        <v>0</v>
      </c>
      <c r="J484" s="190">
        <f ca="1">IFERROR(__xludf.DUMMYFUNCTION("IMPORTRANGE(""https://docs.google.com/spreadsheets/d/1XL5vhW3sbDhbH9Cz0tuDiY8C3ctxq1tqvaCgkFb8cCA/edit?usp=sharing"",""บึงกาฬ!J379"")"),0)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IFERROR(__xludf.DUMMYFUNCTION("IMPORTRANGE(""https://docs.google.com/spreadsheets/d/1XL5vhW3sbDhbH9Cz0tuDiY8C3ctxq1tqvaCgkFb8cCA/edit?usp=sharing"",""บึงกาฬ!I380"")"),0)</f>
        <v>0</v>
      </c>
      <c r="J485" s="190">
        <f ca="1">IFERROR(__xludf.DUMMYFUNCTION("IMPORTRANGE(""https://docs.google.com/spreadsheets/d/1XL5vhW3sbDhbH9Cz0tuDiY8C3ctxq1tqvaCgkFb8cCA/edit?usp=sharing"",""บึงกาฬ!J380"")"),0)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IFERROR(__xludf.DUMMYFUNCTION("IMPORTRANGE(""https://docs.google.com/spreadsheets/d/1XL5vhW3sbDhbH9Cz0tuDiY8C3ctxq1tqvaCgkFb8cCA/edit?usp=sharing"",""บึงกาฬ!I381"")"),0)</f>
        <v>0</v>
      </c>
      <c r="J486" s="190">
        <f ca="1">IFERROR(__xludf.DUMMYFUNCTION("IMPORTRANGE(""https://docs.google.com/spreadsheets/d/1XL5vhW3sbDhbH9Cz0tuDiY8C3ctxq1tqvaCgkFb8cCA/edit?usp=sharing"",""บึงกาฬ!J381"")"),0)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IFERROR(__xludf.DUMMYFUNCTION("IMPORTRANGE(""https://docs.google.com/spreadsheets/d/1XL5vhW3sbDhbH9Cz0tuDiY8C3ctxq1tqvaCgkFb8cCA/edit?usp=sharing"",""บึงกาฬ!I384"")"),0)</f>
        <v>0</v>
      </c>
      <c r="J489" s="190">
        <f ca="1">IFERROR(__xludf.DUMMYFUNCTION("IMPORTRANGE(""https://docs.google.com/spreadsheets/d/1XL5vhW3sbDhbH9Cz0tuDiY8C3ctxq1tqvaCgkFb8cCA/edit?usp=sharing"",""บึงกาฬ!J384"")"),0)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IFERROR(__xludf.DUMMYFUNCTION("IMPORTRANGE(""https://docs.google.com/spreadsheets/d/1XL5vhW3sbDhbH9Cz0tuDiY8C3ctxq1tqvaCgkFb8cCA/edit?usp=sharing"",""บึงกาฬ!I385"")"),0)</f>
        <v>0</v>
      </c>
      <c r="J490" s="190">
        <f ca="1">IFERROR(__xludf.DUMMYFUNCTION("IMPORTRANGE(""https://docs.google.com/spreadsheets/d/1XL5vhW3sbDhbH9Cz0tuDiY8C3ctxq1tqvaCgkFb8cCA/edit?usp=sharing"",""บึงกาฬ!J385"")"),0)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IFERROR(__xludf.DUMMYFUNCTION("IMPORTRANGE(""https://docs.google.com/spreadsheets/d/1XL5vhW3sbDhbH9Cz0tuDiY8C3ctxq1tqvaCgkFb8cCA/edit?usp=sharing"",""บึงกาฬ!I386"")"),0)</f>
        <v>0</v>
      </c>
      <c r="J491" s="190">
        <f ca="1">IFERROR(__xludf.DUMMYFUNCTION("IMPORTRANGE(""https://docs.google.com/spreadsheets/d/1XL5vhW3sbDhbH9Cz0tuDiY8C3ctxq1tqvaCgkFb8cCA/edit?usp=sharing"",""บึงกาฬ!J386"")"),0)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IFERROR(__xludf.DUMMYFUNCTION("IMPORTRANGE(""https://docs.google.com/spreadsheets/d/1XL5vhW3sbDhbH9Cz0tuDiY8C3ctxq1tqvaCgkFb8cCA/edit?usp=sharing"",""บึงกาฬ!I387"")"),0)</f>
        <v>0</v>
      </c>
      <c r="J492" s="190">
        <f ca="1">IFERROR(__xludf.DUMMYFUNCTION("IMPORTRANGE(""https://docs.google.com/spreadsheets/d/1XL5vhW3sbDhbH9Cz0tuDiY8C3ctxq1tqvaCgkFb8cCA/edit?usp=sharing"",""บึงกาฬ!J387"")"),0)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IFERROR(__xludf.DUMMYFUNCTION("IMPORTRANGE(""https://docs.google.com/spreadsheets/d/1XL5vhW3sbDhbH9Cz0tuDiY8C3ctxq1tqvaCgkFb8cCA/edit?usp=sharing"",""บึงกาฬ!I388"")"),0)</f>
        <v>0</v>
      </c>
      <c r="J493" s="190">
        <f ca="1">IFERROR(__xludf.DUMMYFUNCTION("IMPORTRANGE(""https://docs.google.com/spreadsheets/d/1XL5vhW3sbDhbH9Cz0tuDiY8C3ctxq1tqvaCgkFb8cCA/edit?usp=sharing"",""บึงกาฬ!J388"")"),0)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IFERROR(__xludf.DUMMYFUNCTION("IMPORTRANGE(""https://docs.google.com/spreadsheets/d/1XL5vhW3sbDhbH9Cz0tuDiY8C3ctxq1tqvaCgkFb8cCA/edit?usp=sharing"",""บึงกาฬ!J392"")"),2297)</f>
        <v>2297</v>
      </c>
      <c r="K497" s="444">
        <f t="shared" ca="1" si="117"/>
        <v>37.532679738562095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IFERROR(__xludf.DUMMYFUNCTION("IMPORTRANGE(""https://docs.google.com/spreadsheets/d/1XL5vhW3sbDhbH9Cz0tuDiY8C3ctxq1tqvaCgkFb8cCA/edit?usp=sharing"",""บึงกาฬ!J393"")"),2297)</f>
        <v>2297</v>
      </c>
      <c r="K498" s="165">
        <f t="shared" ca="1" si="117"/>
        <v>37.532679738562095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IFERROR(__xludf.DUMMYFUNCTION("IMPORTRANGE(""https://docs.google.com/spreadsheets/d/1XL5vhW3sbDhbH9Cz0tuDiY8C3ctxq1tqvaCgkFb8cCA/edit?usp=sharing"",""บึงกาฬ!J394"")"),166)</f>
        <v>166</v>
      </c>
      <c r="K499" s="203">
        <f t="shared" ca="1" si="117"/>
        <v>39.33649289099526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IFERROR(__xludf.DUMMYFUNCTION("IMPORTRANGE(""https://docs.google.com/spreadsheets/d/1XL5vhW3sbDhbH9Cz0tuDiY8C3ctxq1tqvaCgkFb8cCA/edit?usp=sharing"",""บึงกาฬ!I395"")"),0)</f>
        <v>0</v>
      </c>
      <c r="J500" s="164">
        <f ca="1">IFERROR(__xludf.DUMMYFUNCTION("IMPORTRANGE(""https://docs.google.com/spreadsheets/d/1XL5vhW3sbDhbH9Cz0tuDiY8C3ctxq1tqvaCgkFb8cCA/edit?usp=sharing"",""บึงกาฬ!J395"")"),2296)</f>
        <v>2296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IFERROR(__xludf.DUMMYFUNCTION("IMPORTRANGE(""https://docs.google.com/spreadsheets/d/1XL5vhW3sbDhbH9Cz0tuDiY8C3ctxq1tqvaCgkFb8cCA/edit?usp=sharing"",""บึงกาฬ!I396"")"),0)</f>
        <v>0</v>
      </c>
      <c r="J501" s="164">
        <f ca="1">IFERROR(__xludf.DUMMYFUNCTION("IMPORTRANGE(""https://docs.google.com/spreadsheets/d/1XL5vhW3sbDhbH9Cz0tuDiY8C3ctxq1tqvaCgkFb8cCA/edit?usp=sharing"",""บึงกาฬ!J396"")"),165)</f>
        <v>165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IFERROR(__xludf.DUMMYFUNCTION("IMPORTRANGE(""https://docs.google.com/spreadsheets/d/1XL5vhW3sbDhbH9Cz0tuDiY8C3ctxq1tqvaCgkFb8cCA/edit?usp=sharing"",""บึงกาฬ!I397"")"),0)</f>
        <v>0</v>
      </c>
      <c r="J502" s="190">
        <f ca="1">IFERROR(__xludf.DUMMYFUNCTION("IMPORTRANGE(""https://docs.google.com/spreadsheets/d/1XL5vhW3sbDhbH9Cz0tuDiY8C3ctxq1tqvaCgkFb8cCA/edit?usp=sharing"",""บึงกาฬ!J397"")"),2296)</f>
        <v>2296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IFERROR(__xludf.DUMMYFUNCTION("IMPORTRANGE(""https://docs.google.com/spreadsheets/d/1XL5vhW3sbDhbH9Cz0tuDiY8C3ctxq1tqvaCgkFb8cCA/edit?usp=sharing"",""บึงกาฬ!I398"")"),0)</f>
        <v>0</v>
      </c>
      <c r="J503" s="199">
        <f ca="1">IFERROR(__xludf.DUMMYFUNCTION("IMPORTRANGE(""https://docs.google.com/spreadsheets/d/1XL5vhW3sbDhbH9Cz0tuDiY8C3ctxq1tqvaCgkFb8cCA/edit?usp=sharing"",""บึงกาฬ!J398"")"),165)</f>
        <v>165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IFERROR(__xludf.DUMMYFUNCTION("IMPORTRANGE(""https://docs.google.com/spreadsheets/d/1XL5vhW3sbDhbH9Cz0tuDiY8C3ctxq1tqvaCgkFb8cCA/edit?usp=sharing"",""บึงกาฬ!I399"")"),0)</f>
        <v>0</v>
      </c>
      <c r="J504" s="190">
        <f ca="1">IFERROR(__xludf.DUMMYFUNCTION("IMPORTRANGE(""https://docs.google.com/spreadsheets/d/1XL5vhW3sbDhbH9Cz0tuDiY8C3ctxq1tqvaCgkFb8cCA/edit?usp=sharing"",""บึงกาฬ!J399"")"),0)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IFERROR(__xludf.DUMMYFUNCTION("IMPORTRANGE(""https://docs.google.com/spreadsheets/d/1XL5vhW3sbDhbH9Cz0tuDiY8C3ctxq1tqvaCgkFb8cCA/edit?usp=sharing"",""บึงกาฬ!I400"")"),0)</f>
        <v>0</v>
      </c>
      <c r="J505" s="199">
        <f ca="1">IFERROR(__xludf.DUMMYFUNCTION("IMPORTRANGE(""https://docs.google.com/spreadsheets/d/1XL5vhW3sbDhbH9Cz0tuDiY8C3ctxq1tqvaCgkFb8cCA/edit?usp=sharing"",""บึงกาฬ!J400"")"),0)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IFERROR(__xludf.DUMMYFUNCTION("IMPORTRANGE(""https://docs.google.com/spreadsheets/d/1XL5vhW3sbDhbH9Cz0tuDiY8C3ctxq1tqvaCgkFb8cCA/edit?usp=sharing"",""บึงกาฬ!I401"")"),0)</f>
        <v>0</v>
      </c>
      <c r="J506" s="190">
        <f ca="1">IFERROR(__xludf.DUMMYFUNCTION("IMPORTRANGE(""https://docs.google.com/spreadsheets/d/1XL5vhW3sbDhbH9Cz0tuDiY8C3ctxq1tqvaCgkFb8cCA/edit?usp=sharing"",""บึงกาฬ!J401"")"),0)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IFERROR(__xludf.DUMMYFUNCTION("IMPORTRANGE(""https://docs.google.com/spreadsheets/d/1XL5vhW3sbDhbH9Cz0tuDiY8C3ctxq1tqvaCgkFb8cCA/edit?usp=sharing"",""บึงกาฬ!I402"")"),0)</f>
        <v>0</v>
      </c>
      <c r="J507" s="199">
        <f ca="1">IFERROR(__xludf.DUMMYFUNCTION("IMPORTRANGE(""https://docs.google.com/spreadsheets/d/1XL5vhW3sbDhbH9Cz0tuDiY8C3ctxq1tqvaCgkFb8cCA/edit?usp=sharing"",""บึงกาฬ!J402"")"),0)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IFERROR(__xludf.DUMMYFUNCTION("IMPORTRANGE(""https://docs.google.com/spreadsheets/d/1XL5vhW3sbDhbH9Cz0tuDiY8C3ctxq1tqvaCgkFb8cCA/edit?usp=sharing"",""บึงกาฬ!I403"")"),0)</f>
        <v>0</v>
      </c>
      <c r="J508" s="164">
        <f ca="1">IFERROR(__xludf.DUMMYFUNCTION("IMPORTRANGE(""https://docs.google.com/spreadsheets/d/1XL5vhW3sbDhbH9Cz0tuDiY8C3ctxq1tqvaCgkFb8cCA/edit?usp=sharing"",""บึงกาฬ!J403"")"),1)</f>
        <v>1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IFERROR(__xludf.DUMMYFUNCTION("IMPORTRANGE(""https://docs.google.com/spreadsheets/d/1XL5vhW3sbDhbH9Cz0tuDiY8C3ctxq1tqvaCgkFb8cCA/edit?usp=sharing"",""บึงกาฬ!I404"")"),0)</f>
        <v>0</v>
      </c>
      <c r="J509" s="164">
        <f ca="1">IFERROR(__xludf.DUMMYFUNCTION("IMPORTRANGE(""https://docs.google.com/spreadsheets/d/1XL5vhW3sbDhbH9Cz0tuDiY8C3ctxq1tqvaCgkFb8cCA/edit?usp=sharing"",""บึงกาฬ!J404"")"),1)</f>
        <v>1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IFERROR(__xludf.DUMMYFUNCTION("IMPORTRANGE(""https://docs.google.com/spreadsheets/d/1XL5vhW3sbDhbH9Cz0tuDiY8C3ctxq1tqvaCgkFb8cCA/edit?usp=sharing"",""บึงกาฬ!I405"")"),0)</f>
        <v>0</v>
      </c>
      <c r="J510" s="199">
        <f ca="1">IFERROR(__xludf.DUMMYFUNCTION("IMPORTRANGE(""https://docs.google.com/spreadsheets/d/1XL5vhW3sbDhbH9Cz0tuDiY8C3ctxq1tqvaCgkFb8cCA/edit?usp=sharing"",""บึงกาฬ!J405"")"),1)</f>
        <v>1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IFERROR(__xludf.DUMMYFUNCTION("IMPORTRANGE(""https://docs.google.com/spreadsheets/d/1XL5vhW3sbDhbH9Cz0tuDiY8C3ctxq1tqvaCgkFb8cCA/edit?usp=sharing"",""บึงกาฬ!I406"")"),0)</f>
        <v>0</v>
      </c>
      <c r="J511" s="199">
        <f ca="1">IFERROR(__xludf.DUMMYFUNCTION("IMPORTRANGE(""https://docs.google.com/spreadsheets/d/1XL5vhW3sbDhbH9Cz0tuDiY8C3ctxq1tqvaCgkFb8cCA/edit?usp=sharing"",""บึงกาฬ!J406"")"),1)</f>
        <v>1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IFERROR(__xludf.DUMMYFUNCTION("IMPORTRANGE(""https://docs.google.com/spreadsheets/d/1XL5vhW3sbDhbH9Cz0tuDiY8C3ctxq1tqvaCgkFb8cCA/edit?usp=sharing"",""บึงกาฬ!I407"")"),0)</f>
        <v>0</v>
      </c>
      <c r="J512" s="199">
        <f ca="1">IFERROR(__xludf.DUMMYFUNCTION("IMPORTRANGE(""https://docs.google.com/spreadsheets/d/1XL5vhW3sbDhbH9Cz0tuDiY8C3ctxq1tqvaCgkFb8cCA/edit?usp=sharing"",""บึงกาฬ!J407"")"),0)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IFERROR(__xludf.DUMMYFUNCTION("IMPORTRANGE(""https://docs.google.com/spreadsheets/d/1XL5vhW3sbDhbH9Cz0tuDiY8C3ctxq1tqvaCgkFb8cCA/edit?usp=sharing"",""บึงกาฬ!I408"")"),0)</f>
        <v>0</v>
      </c>
      <c r="J513" s="199">
        <f ca="1">IFERROR(__xludf.DUMMYFUNCTION("IMPORTRANGE(""https://docs.google.com/spreadsheets/d/1XL5vhW3sbDhbH9Cz0tuDiY8C3ctxq1tqvaCgkFb8cCA/edit?usp=sharing"",""บึงกาฬ!J408"")"),0)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IFERROR(__xludf.DUMMYFUNCTION("IMPORTRANGE(""https://docs.google.com/spreadsheets/d/1XL5vhW3sbDhbH9Cz0tuDiY8C3ctxq1tqvaCgkFb8cCA/edit?usp=sharing"",""บึงกาฬ!I409"")"),0)</f>
        <v>0</v>
      </c>
      <c r="J514" s="199">
        <f ca="1">IFERROR(__xludf.DUMMYFUNCTION("IMPORTRANGE(""https://docs.google.com/spreadsheets/d/1XL5vhW3sbDhbH9Cz0tuDiY8C3ctxq1tqvaCgkFb8cCA/edit?usp=sharing"",""บึงกาฬ!J409"")"),0)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IFERROR(__xludf.DUMMYFUNCTION("IMPORTRANGE(""https://docs.google.com/spreadsheets/d/1XL5vhW3sbDhbH9Cz0tuDiY8C3ctxq1tqvaCgkFb8cCA/edit?usp=sharing"",""บึงกาฬ!I410"")"),0)</f>
        <v>0</v>
      </c>
      <c r="J515" s="199">
        <f ca="1">IFERROR(__xludf.DUMMYFUNCTION("IMPORTRANGE(""https://docs.google.com/spreadsheets/d/1XL5vhW3sbDhbH9Cz0tuDiY8C3ctxq1tqvaCgkFb8cCA/edit?usp=sharing"",""บึงกาฬ!J410"")"),0)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IFERROR(__xludf.DUMMYFUNCTION("IMPORTRANGE(""https://docs.google.com/spreadsheets/d/1XL5vhW3sbDhbH9Cz0tuDiY8C3ctxq1tqvaCgkFb8cCA/edit?usp=sharing"",""บึงกาฬ!I412"")"),0)</f>
        <v>0</v>
      </c>
      <c r="J517" s="284">
        <f ca="1">IFERROR(__xludf.DUMMYFUNCTION("IMPORTRANGE(""https://docs.google.com/spreadsheets/d/1XL5vhW3sbDhbH9Cz0tuDiY8C3ctxq1tqvaCgkFb8cCA/edit?usp=sharing"",""บึงกาฬ!J412"")"),0)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IFERROR(__xludf.DUMMYFUNCTION("IMPORTRANGE(""https://docs.google.com/spreadsheets/d/1XL5vhW3sbDhbH9Cz0tuDiY8C3ctxq1tqvaCgkFb8cCA/edit?usp=sharing"",""บึงกาฬ!I413"")"),0)</f>
        <v>0</v>
      </c>
      <c r="J518" s="284">
        <f ca="1">IFERROR(__xludf.DUMMYFUNCTION("IMPORTRANGE(""https://docs.google.com/spreadsheets/d/1XL5vhW3sbDhbH9Cz0tuDiY8C3ctxq1tqvaCgkFb8cCA/edit?usp=sharing"",""บึงกาฬ!J413"")"),0)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IFERROR(__xludf.DUMMYFUNCTION("IMPORTRANGE(""https://docs.google.com/spreadsheets/d/1XL5vhW3sbDhbH9Cz0tuDiY8C3ctxq1tqvaCgkFb8cCA/edit?usp=sharing"",""บึงกาฬ!I414"")"),0)</f>
        <v>0</v>
      </c>
      <c r="J519" s="189">
        <f ca="1">IFERROR(__xludf.DUMMYFUNCTION("IMPORTRANGE(""https://docs.google.com/spreadsheets/d/1XL5vhW3sbDhbH9Cz0tuDiY8C3ctxq1tqvaCgkFb8cCA/edit?usp=sharing"",""บึงกาฬ!J414"")"),0)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IFERROR(__xludf.DUMMYFUNCTION("IMPORTRANGE(""https://docs.google.com/spreadsheets/d/1XL5vhW3sbDhbH9Cz0tuDiY8C3ctxq1tqvaCgkFb8cCA/edit?usp=sharing"",""บึงกาฬ!I415"")"),0)</f>
        <v>0</v>
      </c>
      <c r="J520" s="189">
        <f ca="1">IFERROR(__xludf.DUMMYFUNCTION("IMPORTRANGE(""https://docs.google.com/spreadsheets/d/1XL5vhW3sbDhbH9Cz0tuDiY8C3ctxq1tqvaCgkFb8cCA/edit?usp=sharing"",""บึงกาฬ!J415"")"),0)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IFERROR(__xludf.DUMMYFUNCTION("IMPORTRANGE(""https://docs.google.com/spreadsheets/d/1XL5vhW3sbDhbH9Cz0tuDiY8C3ctxq1tqvaCgkFb8cCA/edit?usp=sharing"",""บึงกาฬ!I416"")"),0)</f>
        <v>0</v>
      </c>
      <c r="J521" s="189">
        <f ca="1">IFERROR(__xludf.DUMMYFUNCTION("IMPORTRANGE(""https://docs.google.com/spreadsheets/d/1XL5vhW3sbDhbH9Cz0tuDiY8C3ctxq1tqvaCgkFb8cCA/edit?usp=sharing"",""บึงกาฬ!J416"")"),0)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IFERROR(__xludf.DUMMYFUNCTION("IMPORTRANGE(""https://docs.google.com/spreadsheets/d/1XL5vhW3sbDhbH9Cz0tuDiY8C3ctxq1tqvaCgkFb8cCA/edit?usp=sharing"",""บึงกาฬ!I417"")"),0)</f>
        <v>0</v>
      </c>
      <c r="J522" s="189">
        <f ca="1">IFERROR(__xludf.DUMMYFUNCTION("IMPORTRANGE(""https://docs.google.com/spreadsheets/d/1XL5vhW3sbDhbH9Cz0tuDiY8C3ctxq1tqvaCgkFb8cCA/edit?usp=sharing"",""บึงกาฬ!J417"")"),0)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IFERROR(__xludf.DUMMYFUNCTION("IMPORTRANGE(""https://docs.google.com/spreadsheets/d/1XL5vhW3sbDhbH9Cz0tuDiY8C3ctxq1tqvaCgkFb8cCA/edit?usp=sharing"",""บึงกาฬ!I418"")"),0)</f>
        <v>0</v>
      </c>
      <c r="J523" s="189">
        <f ca="1">IFERROR(__xludf.DUMMYFUNCTION("IMPORTRANGE(""https://docs.google.com/spreadsheets/d/1XL5vhW3sbDhbH9Cz0tuDiY8C3ctxq1tqvaCgkFb8cCA/edit?usp=sharing"",""บึงกาฬ!J418"")"),0)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IFERROR(__xludf.DUMMYFUNCTION("IMPORTRANGE(""https://docs.google.com/spreadsheets/d/1XL5vhW3sbDhbH9Cz0tuDiY8C3ctxq1tqvaCgkFb8cCA/edit?usp=sharing"",""บึงกาฬ!I419"")"),0)</f>
        <v>0</v>
      </c>
      <c r="J524" s="189">
        <f ca="1">IFERROR(__xludf.DUMMYFUNCTION("IMPORTRANGE(""https://docs.google.com/spreadsheets/d/1XL5vhW3sbDhbH9Cz0tuDiY8C3ctxq1tqvaCgkFb8cCA/edit?usp=sharing"",""บึงกาฬ!J419"")"),0)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IFERROR(__xludf.DUMMYFUNCTION("IMPORTRANGE(""https://docs.google.com/spreadsheets/d/1XL5vhW3sbDhbH9Cz0tuDiY8C3ctxq1tqvaCgkFb8cCA/edit?usp=sharing"",""บึงกาฬ!I420"")"),0)</f>
        <v>0</v>
      </c>
      <c r="J525" s="284">
        <f ca="1">IFERROR(__xludf.DUMMYFUNCTION("IMPORTRANGE(""https://docs.google.com/spreadsheets/d/1XL5vhW3sbDhbH9Cz0tuDiY8C3ctxq1tqvaCgkFb8cCA/edit?usp=sharing"",""บึงกาฬ!J420"")"),0)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IFERROR(__xludf.DUMMYFUNCTION("IMPORTRANGE(""https://docs.google.com/spreadsheets/d/1XL5vhW3sbDhbH9Cz0tuDiY8C3ctxq1tqvaCgkFb8cCA/edit?usp=sharing"",""บึงกาฬ!I421"")"),0)</f>
        <v>0</v>
      </c>
      <c r="J526" s="284">
        <f ca="1">IFERROR(__xludf.DUMMYFUNCTION("IMPORTRANGE(""https://docs.google.com/spreadsheets/d/1XL5vhW3sbDhbH9Cz0tuDiY8C3ctxq1tqvaCgkFb8cCA/edit?usp=sharing"",""บึงกาฬ!J421"")"),0)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IFERROR(__xludf.DUMMYFUNCTION("IMPORTRANGE(""https://docs.google.com/spreadsheets/d/1XL5vhW3sbDhbH9Cz0tuDiY8C3ctxq1tqvaCgkFb8cCA/edit?usp=sharing"",""บึงกาฬ!I422"")"),0)</f>
        <v>0</v>
      </c>
      <c r="J527" s="199">
        <f ca="1">IFERROR(__xludf.DUMMYFUNCTION("IMPORTRANGE(""https://docs.google.com/spreadsheets/d/1XL5vhW3sbDhbH9Cz0tuDiY8C3ctxq1tqvaCgkFb8cCA/edit?usp=sharing"",""บึงกาฬ!J422"")"),0)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IFERROR(__xludf.DUMMYFUNCTION("IMPORTRANGE(""https://docs.google.com/spreadsheets/d/1XL5vhW3sbDhbH9Cz0tuDiY8C3ctxq1tqvaCgkFb8cCA/edit?usp=sharing"",""บึงกาฬ!I423"")"),0)</f>
        <v>0</v>
      </c>
      <c r="J528" s="199">
        <f ca="1">IFERROR(__xludf.DUMMYFUNCTION("IMPORTRANGE(""https://docs.google.com/spreadsheets/d/1XL5vhW3sbDhbH9Cz0tuDiY8C3ctxq1tqvaCgkFb8cCA/edit?usp=sharing"",""บึงกาฬ!J423"")"),0)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IFERROR(__xludf.DUMMYFUNCTION("IMPORTRANGE(""https://docs.google.com/spreadsheets/d/1XL5vhW3sbDhbH9Cz0tuDiY8C3ctxq1tqvaCgkFb8cCA/edit?usp=sharing"",""บึงกาฬ!I424"")"),0)</f>
        <v>0</v>
      </c>
      <c r="J529" s="199">
        <f ca="1">IFERROR(__xludf.DUMMYFUNCTION("IMPORTRANGE(""https://docs.google.com/spreadsheets/d/1XL5vhW3sbDhbH9Cz0tuDiY8C3ctxq1tqvaCgkFb8cCA/edit?usp=sharing"",""บึงกาฬ!J424"")"),0)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IFERROR(__xludf.DUMMYFUNCTION("IMPORTRANGE(""https://docs.google.com/spreadsheets/d/1XL5vhW3sbDhbH9Cz0tuDiY8C3ctxq1tqvaCgkFb8cCA/edit?usp=sharing"",""บึงกาฬ!I425"")"),0)</f>
        <v>0</v>
      </c>
      <c r="J530" s="199">
        <f ca="1">IFERROR(__xludf.DUMMYFUNCTION("IMPORTRANGE(""https://docs.google.com/spreadsheets/d/1XL5vhW3sbDhbH9Cz0tuDiY8C3ctxq1tqvaCgkFb8cCA/edit?usp=sharing"",""บึงกาฬ!J425"")"),0)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IFERROR(__xludf.DUMMYFUNCTION("IMPORTRANGE(""https://docs.google.com/spreadsheets/d/1XL5vhW3sbDhbH9Cz0tuDiY8C3ctxq1tqvaCgkFb8cCA/edit?usp=sharing"",""บึงกาฬ!I426"")"),0)</f>
        <v>0</v>
      </c>
      <c r="J531" s="199">
        <f ca="1">IFERROR(__xludf.DUMMYFUNCTION("IMPORTRANGE(""https://docs.google.com/spreadsheets/d/1XL5vhW3sbDhbH9Cz0tuDiY8C3ctxq1tqvaCgkFb8cCA/edit?usp=sharing"",""บึงกาฬ!J426"")"),0)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IFERROR(__xludf.DUMMYFUNCTION("IMPORTRANGE(""https://docs.google.com/spreadsheets/d/1XL5vhW3sbDhbH9Cz0tuDiY8C3ctxq1tqvaCgkFb8cCA/edit?usp=sharing"",""บึงกาฬ!L429"")"),0)</f>
        <v>0</v>
      </c>
      <c r="M534" s="166"/>
      <c r="N534" s="170">
        <f ca="1">IFERROR(__xludf.DUMMYFUNCTION("IMPORTRANGE(""https://docs.google.com/spreadsheets/d/1XL5vhW3sbDhbH9Cz0tuDiY8C3ctxq1tqvaCgkFb8cCA/edit?usp=sharing"",""บึงกาฬ!M429"")"),0)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IFERROR(__xludf.DUMMYFUNCTION("IMPORTRANGE(""https://docs.google.com/spreadsheets/d/1XL5vhW3sbDhbH9Cz0tuDiY8C3ctxq1tqvaCgkFb8cCA/edit?usp=sharing"",""บึงกาฬ!L430"")"),41140)</f>
        <v>41140</v>
      </c>
      <c r="M535" s="167"/>
      <c r="N535" s="170">
        <f ca="1">IFERROR(__xludf.DUMMYFUNCTION("IMPORTRANGE(""https://docs.google.com/spreadsheets/d/1XL5vhW3sbDhbH9Cz0tuDiY8C3ctxq1tqvaCgkFb8cCA/edit?usp=sharing"",""บึงกาฬ!M430"")"),34512)</f>
        <v>34512</v>
      </c>
      <c r="O535" s="170">
        <f t="shared" ca="1" si="118"/>
        <v>83.889158969372872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IFERROR(__xludf.DUMMYFUNCTION("IMPORTRANGE(""https://docs.google.com/spreadsheets/d/1XL5vhW3sbDhbH9Cz0tuDiY8C3ctxq1tqvaCgkFb8cCA/edit?usp=sharing"",""บึงกาฬ!L431"")"),0)</f>
        <v>0</v>
      </c>
      <c r="M536" s="170"/>
      <c r="N536" s="170">
        <f ca="1">IFERROR(__xludf.DUMMYFUNCTION("IMPORTRANGE(""https://docs.google.com/spreadsheets/d/1XL5vhW3sbDhbH9Cz0tuDiY8C3ctxq1tqvaCgkFb8cCA/edit?usp=sharing"",""บึงกาฬ!M431"")"),0)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IFERROR(__xludf.DUMMYFUNCTION("IMPORTRANGE(""https://docs.google.com/spreadsheets/d/1XL5vhW3sbDhbH9Cz0tuDiY8C3ctxq1tqvaCgkFb8cCA/edit?usp=sharing"",""บึงกาฬ!L432"")"),41140)</f>
        <v>41140</v>
      </c>
      <c r="M537" s="170"/>
      <c r="N537" s="170">
        <f ca="1">IFERROR(__xludf.DUMMYFUNCTION("IMPORTRANGE(""https://docs.google.com/spreadsheets/d/1XL5vhW3sbDhbH9Cz0tuDiY8C3ctxq1tqvaCgkFb8cCA/edit?usp=sharing"",""บึงกาฬ!M432"")"),34512)</f>
        <v>34512</v>
      </c>
      <c r="O537" s="170">
        <f t="shared" ca="1" si="118"/>
        <v>83.889158969372872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IFERROR(__xludf.DUMMYFUNCTION("IMPORTRANGE(""https://docs.google.com/spreadsheets/d/1XL5vhW3sbDhbH9Cz0tuDiY8C3ctxq1tqvaCgkFb8cCA/edit?usp=sharing"",""บึงกาฬ!M433"")"),34512)</f>
        <v>34512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IFERROR(__xludf.DUMMYFUNCTION("IMPORTRANGE(""https://docs.google.com/spreadsheets/d/1XL5vhW3sbDhbH9Cz0tuDiY8C3ctxq1tqvaCgkFb8cCA/edit?usp=sharing"",""บึงกาฬ!M436"")"),0)</f>
        <v>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IFERROR(__xludf.DUMMYFUNCTION("IMPORTRANGE(""https://docs.google.com/spreadsheets/d/1XL5vhW3sbDhbH9Cz0tuDiY8C3ctxq1tqvaCgkFb8cCA/edit?usp=sharing"",""บึงกาฬ!J438"")"),0)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IFERROR(__xludf.DUMMYFUNCTION("IMPORTRANGE(""https://docs.google.com/spreadsheets/d/1XL5vhW3sbDhbH9Cz0tuDiY8C3ctxq1tqvaCgkFb8cCA/edit?usp=sharing"",""บึงกาฬ!J439"")"),1)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IFERROR(__xludf.DUMMYFUNCTION("IMPORTRANGE(""https://docs.google.com/spreadsheets/d/1XL5vhW3sbDhbH9Cz0tuDiY8C3ctxq1tqvaCgkFb8cCA/edit?usp=sharing"",""บึงกาฬ!J440"")"),1)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IFERROR(__xludf.DUMMYFUNCTION("IMPORTRANGE(""https://docs.google.com/spreadsheets/d/1XL5vhW3sbDhbH9Cz0tuDiY8C3ctxq1tqvaCgkFb8cCA/edit?usp=sharing"",""บึงกาฬ!J441"")"),1)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IFERROR(__xludf.DUMMYFUNCTION("IMPORTRANGE(""https://docs.google.com/spreadsheets/d/1XL5vhW3sbDhbH9Cz0tuDiY8C3ctxq1tqvaCgkFb8cCA/edit?usp=sharing"",""บึงกาฬ!I442"")"),30)</f>
        <v>30</v>
      </c>
      <c r="J547" s="190">
        <f ca="1">IFERROR(__xludf.DUMMYFUNCTION("IMPORTRANGE(""https://docs.google.com/spreadsheets/d/1XL5vhW3sbDhbH9Cz0tuDiY8C3ctxq1tqvaCgkFb8cCA/edit?usp=sharing"",""บึงกาฬ!J442"")"),30)</f>
        <v>30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IFERROR(__xludf.DUMMYFUNCTION("IMPORTRANGE(""https://docs.google.com/spreadsheets/d/1XL5vhW3sbDhbH9Cz0tuDiY8C3ctxq1tqvaCgkFb8cCA/edit?usp=sharing"",""บึงกาฬ!J166"")"),0)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IFERROR(__xludf.DUMMYFUNCTION("IMPORTRANGE(""https://docs.google.com/spreadsheets/d/1XL5vhW3sbDhbH9Cz0tuDiY8C3ctxq1tqvaCgkFb8cCA/edit?usp=sharing"",""บึงกาฬ!J444"")"),0)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IFERROR(__xludf.DUMMYFUNCTION("IMPORTRANGE(""https://docs.google.com/spreadsheets/d/1XL5vhW3sbDhbH9Cz0tuDiY8C3ctxq1tqvaCgkFb8cCA/edit?usp=sharing"",""บึงกาฬ!J446"")"),1362)</f>
        <v>1362</v>
      </c>
      <c r="K551" s="411">
        <f ca="1">IF(I551&gt;0,J551*100/I551,0)</f>
        <v>27.24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IFERROR(__xludf.DUMMYFUNCTION("IMPORTRANGE(""https://docs.google.com/spreadsheets/d/1XL5vhW3sbDhbH9Cz0tuDiY8C3ctxq1tqvaCgkFb8cCA/edit?usp=sharing"",""บึงกาฬ!M446"")"),63060)</f>
        <v>63060</v>
      </c>
      <c r="O551" s="412">
        <f t="shared" ref="O551:O555" ca="1" si="120">+IF(L551&gt;0,N551*100/L551,0)</f>
        <v>19.706250000000001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IFERROR(__xludf.DUMMYFUNCTION("IMPORTRANGE(""https://docs.google.com/spreadsheets/d/1XL5vhW3sbDhbH9Cz0tuDiY8C3ctxq1tqvaCgkFb8cCA/edit?usp=sharing"",""บึงกาฬ!L447"")"),0)</f>
        <v>0</v>
      </c>
      <c r="M552" s="166"/>
      <c r="N552" s="170">
        <f ca="1">IFERROR(__xludf.DUMMYFUNCTION("IMPORTRANGE(""https://docs.google.com/spreadsheets/d/1XL5vhW3sbDhbH9Cz0tuDiY8C3ctxq1tqvaCgkFb8cCA/edit?usp=sharing"",""บึงกาฬ!M447"")"),0)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IFERROR(__xludf.DUMMYFUNCTION("IMPORTRANGE(""https://docs.google.com/spreadsheets/d/1XL5vhW3sbDhbH9Cz0tuDiY8C3ctxq1tqvaCgkFb8cCA/edit?usp=sharing"",""บึงกาฬ!L448"")"),320000)</f>
        <v>320000</v>
      </c>
      <c r="M553" s="167"/>
      <c r="N553" s="170">
        <f ca="1">IFERROR(__xludf.DUMMYFUNCTION("IMPORTRANGE(""https://docs.google.com/spreadsheets/d/1XL5vhW3sbDhbH9Cz0tuDiY8C3ctxq1tqvaCgkFb8cCA/edit?usp=sharing"",""บึงกาฬ!M448"")"),63060)</f>
        <v>63060</v>
      </c>
      <c r="O553" s="170">
        <f t="shared" ca="1" si="120"/>
        <v>19.706250000000001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IFERROR(__xludf.DUMMYFUNCTION("IMPORTRANGE(""https://docs.google.com/spreadsheets/d/1XL5vhW3sbDhbH9Cz0tuDiY8C3ctxq1tqvaCgkFb8cCA/edit?usp=sharing"",""บึงกาฬ!L449"")"),0)</f>
        <v>0</v>
      </c>
      <c r="M554" s="170"/>
      <c r="N554" s="170">
        <f ca="1">IFERROR(__xludf.DUMMYFUNCTION("IMPORTRANGE(""https://docs.google.com/spreadsheets/d/1XL5vhW3sbDhbH9Cz0tuDiY8C3ctxq1tqvaCgkFb8cCA/edit?usp=sharing"",""บึงกาฬ!M449"")"),0)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IFERROR(__xludf.DUMMYFUNCTION("IMPORTRANGE(""https://docs.google.com/spreadsheets/d/1XL5vhW3sbDhbH9Cz0tuDiY8C3ctxq1tqvaCgkFb8cCA/edit?usp=sharing"",""บึงกาฬ!L450"")"),320000)</f>
        <v>320000</v>
      </c>
      <c r="M555" s="170"/>
      <c r="N555" s="170">
        <f ca="1">IFERROR(__xludf.DUMMYFUNCTION("IMPORTRANGE(""https://docs.google.com/spreadsheets/d/1XL5vhW3sbDhbH9Cz0tuDiY8C3ctxq1tqvaCgkFb8cCA/edit?usp=sharing"",""บึงกาฬ!M450"")"),63060)</f>
        <v>63060</v>
      </c>
      <c r="O555" s="170">
        <f t="shared" ca="1" si="120"/>
        <v>19.706250000000001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IFERROR(__xludf.DUMMYFUNCTION("IMPORTRANGE(""https://docs.google.com/spreadsheets/d/1XL5vhW3sbDhbH9Cz0tuDiY8C3ctxq1tqvaCgkFb8cCA/edit?usp=sharing"",""บึงกาฬ!M451"")"),0)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IFERROR(__xludf.DUMMYFUNCTION("IMPORTRANGE(""https://docs.google.com/spreadsheets/d/1XL5vhW3sbDhbH9Cz0tuDiY8C3ctxq1tqvaCgkFb8cCA/edit?usp=sharing"",""บึงกาฬ!M452"")"),0)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IFERROR(__xludf.DUMMYFUNCTION("IMPORTRANGE(""https://docs.google.com/spreadsheets/d/1XL5vhW3sbDhbH9Cz0tuDiY8C3ctxq1tqvaCgkFb8cCA/edit?usp=sharing"",""บึงกาฬ!M453"")"),0)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IFERROR(__xludf.DUMMYFUNCTION("IMPORTRANGE(""https://docs.google.com/spreadsheets/d/1XL5vhW3sbDhbH9Cz0tuDiY8C3ctxq1tqvaCgkFb8cCA/edit?usp=sharing"",""บึงกาฬ!M454"")"),63060)</f>
        <v>63060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IFERROR(__xludf.DUMMYFUNCTION("IMPORTRANGE(""https://docs.google.com/spreadsheets/d/1XL5vhW3sbDhbH9Cz0tuDiY8C3ctxq1tqvaCgkFb8cCA/edit?usp=sharing"",""บึงกาฬ!I455"")"),5000)</f>
        <v>5000</v>
      </c>
      <c r="J560" s="164">
        <f ca="1">IFERROR(__xludf.DUMMYFUNCTION("IMPORTRANGE(""https://docs.google.com/spreadsheets/d/1XL5vhW3sbDhbH9Cz0tuDiY8C3ctxq1tqvaCgkFb8cCA/edit?usp=sharing"",""บึงกาฬ!J455"")"),1362)</f>
        <v>1362</v>
      </c>
      <c r="K560" s="225">
        <f t="shared" ref="K560:K564" ca="1" si="121">IF(I560&gt;0,J560*100/I560,0)</f>
        <v>27.24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IFERROR(__xludf.DUMMYFUNCTION("IMPORTRANGE(""https://docs.google.com/spreadsheets/d/1XL5vhW3sbDhbH9Cz0tuDiY8C3ctxq1tqvaCgkFb8cCA/edit?usp=sharing"",""บึงกาฬ!I456"")"),0)</f>
        <v>0</v>
      </c>
      <c r="J561" s="205">
        <f ca="1">IFERROR(__xludf.DUMMYFUNCTION("IMPORTRANGE(""https://docs.google.com/spreadsheets/d/1XL5vhW3sbDhbH9Cz0tuDiY8C3ctxq1tqvaCgkFb8cCA/edit?usp=sharing"",""บึงกาฬ!J456"")"),99)</f>
        <v>99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IFERROR(__xludf.DUMMYFUNCTION("IMPORTRANGE(""https://docs.google.com/spreadsheets/d/1XL5vhW3sbDhbH9Cz0tuDiY8C3ctxq1tqvaCgkFb8cCA/edit?usp=sharing"",""บึงกาฬ!I457"")"),0)</f>
        <v>0</v>
      </c>
      <c r="J562" s="205" t="str">
        <f ca="1">IFERROR(__xludf.DUMMYFUNCTION("IMPORTRANGE(""https://docs.google.com/spreadsheets/d/1XL5vhW3sbDhbH9Cz0tuDiY8C3ctxq1tqvaCgkFb8cCA/edit?usp=sharing"",""บึงกาฬ!J457"")"),"")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IFERROR(__xludf.DUMMYFUNCTION("IMPORTRANGE(""https://docs.google.com/spreadsheets/d/1XL5vhW3sbDhbH9Cz0tuDiY8C3ctxq1tqvaCgkFb8cCA/edit?usp=sharing"",""บึงกาฬ!I458"")"),0)</f>
        <v>0</v>
      </c>
      <c r="J563" s="189" t="str">
        <f ca="1">IFERROR(__xludf.DUMMYFUNCTION("IMPORTRANGE(""https://docs.google.com/spreadsheets/d/1XL5vhW3sbDhbH9Cz0tuDiY8C3ctxq1tqvaCgkFb8cCA/edit?usp=sharing"",""บึงกาฬ!J458"")"),"")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IFERROR(__xludf.DUMMYFUNCTION("IMPORTRANGE(""https://docs.google.com/spreadsheets/d/1XL5vhW3sbDhbH9Cz0tuDiY8C3ctxq1tqvaCgkFb8cCA/edit?usp=sharing"",""บึงกาฬ!J459"")"),1938)</f>
        <v>1938</v>
      </c>
      <c r="K564" s="372">
        <f t="shared" ca="1" si="121"/>
        <v>55.371428571428574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IFERROR(__xludf.DUMMYFUNCTION("IMPORTRANGE(""https://docs.google.com/spreadsheets/d/1XL5vhW3sbDhbH9Cz0tuDiY8C3ctxq1tqvaCgkFb8cCA/edit?usp=sharing"",""บึงกาฬ!M459"")"),33000)</f>
        <v>33000</v>
      </c>
      <c r="O564" s="373">
        <f t="shared" ref="O564:O568" ca="1" si="122">+IF(L564&gt;0,N564*100/L564,0)</f>
        <v>20.625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IFERROR(__xludf.DUMMYFUNCTION("IMPORTRANGE(""https://docs.google.com/spreadsheets/d/1XL5vhW3sbDhbH9Cz0tuDiY8C3ctxq1tqvaCgkFb8cCA/edit?usp=sharing"",""บึงกาฬ!L460"")"),0)</f>
        <v>0</v>
      </c>
      <c r="M565" s="166"/>
      <c r="N565" s="170">
        <f ca="1">IFERROR(__xludf.DUMMYFUNCTION("IMPORTRANGE(""https://docs.google.com/spreadsheets/d/1XL5vhW3sbDhbH9Cz0tuDiY8C3ctxq1tqvaCgkFb8cCA/edit?usp=sharing"",""บึงกาฬ!M460"")"),0)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IFERROR(__xludf.DUMMYFUNCTION("IMPORTRANGE(""https://docs.google.com/spreadsheets/d/1XL5vhW3sbDhbH9Cz0tuDiY8C3ctxq1tqvaCgkFb8cCA/edit?usp=sharing"",""บึงกาฬ!L461"")"),160000)</f>
        <v>160000</v>
      </c>
      <c r="M566" s="167"/>
      <c r="N566" s="170">
        <f ca="1">IFERROR(__xludf.DUMMYFUNCTION("IMPORTRANGE(""https://docs.google.com/spreadsheets/d/1XL5vhW3sbDhbH9Cz0tuDiY8C3ctxq1tqvaCgkFb8cCA/edit?usp=sharing"",""บึงกาฬ!M461"")"),33000)</f>
        <v>33000</v>
      </c>
      <c r="O566" s="170">
        <f t="shared" ca="1" si="122"/>
        <v>20.625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IFERROR(__xludf.DUMMYFUNCTION("IMPORTRANGE(""https://docs.google.com/spreadsheets/d/1XL5vhW3sbDhbH9Cz0tuDiY8C3ctxq1tqvaCgkFb8cCA/edit?usp=sharing"",""บึงกาฬ!L462"")"),0)</f>
        <v>0</v>
      </c>
      <c r="M567" s="170"/>
      <c r="N567" s="170">
        <f ca="1">IFERROR(__xludf.DUMMYFUNCTION("IMPORTRANGE(""https://docs.google.com/spreadsheets/d/1XL5vhW3sbDhbH9Cz0tuDiY8C3ctxq1tqvaCgkFb8cCA/edit?usp=sharing"",""บึงกาฬ!M462"")"),0)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IFERROR(__xludf.DUMMYFUNCTION("IMPORTRANGE(""https://docs.google.com/spreadsheets/d/1XL5vhW3sbDhbH9Cz0tuDiY8C3ctxq1tqvaCgkFb8cCA/edit?usp=sharing"",""บึงกาฬ!L463"")"),160000)</f>
        <v>160000</v>
      </c>
      <c r="M568" s="170"/>
      <c r="N568" s="170">
        <f ca="1">IFERROR(__xludf.DUMMYFUNCTION("IMPORTRANGE(""https://docs.google.com/spreadsheets/d/1XL5vhW3sbDhbH9Cz0tuDiY8C3ctxq1tqvaCgkFb8cCA/edit?usp=sharing"",""บึงกาฬ!M463"")"),33000)</f>
        <v>33000</v>
      </c>
      <c r="O568" s="170">
        <f t="shared" ca="1" si="122"/>
        <v>20.625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IFERROR(__xludf.DUMMYFUNCTION("IMPORTRANGE(""https://docs.google.com/spreadsheets/d/1XL5vhW3sbDhbH9Cz0tuDiY8C3ctxq1tqvaCgkFb8cCA/edit?usp=sharing"",""บึงกาฬ!M464"")"),0)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IFERROR(__xludf.DUMMYFUNCTION("IMPORTRANGE(""https://docs.google.com/spreadsheets/d/1XL5vhW3sbDhbH9Cz0tuDiY8C3ctxq1tqvaCgkFb8cCA/edit?usp=sharing"",""บึงกาฬ!M465"")"),0)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IFERROR(__xludf.DUMMYFUNCTION("IMPORTRANGE(""https://docs.google.com/spreadsheets/d/1XL5vhW3sbDhbH9Cz0tuDiY8C3ctxq1tqvaCgkFb8cCA/edit?usp=sharing"",""บึงกาฬ!M466"")"),33000)</f>
        <v>33000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IFERROR(__xludf.DUMMYFUNCTION("IMPORTRANGE(""https://docs.google.com/spreadsheets/d/1XL5vhW3sbDhbH9Cz0tuDiY8C3ctxq1tqvaCgkFb8cCA/edit?usp=sharing"",""บึงกาฬ!M467"")"),0)</f>
        <v>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IFERROR(__xludf.DUMMYFUNCTION("IMPORTRANGE(""https://docs.google.com/spreadsheets/d/1XL5vhW3sbDhbH9Cz0tuDiY8C3ctxq1tqvaCgkFb8cCA/edit?usp=sharing"",""บึงกาฬ!J468"")"),1938)</f>
        <v>1938</v>
      </c>
      <c r="K573" s="203">
        <f ca="1">IF(I573&gt;0,J573*100/I573,0)</f>
        <v>55.371428571428574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IFERROR(__xludf.DUMMYFUNCTION("IMPORTRANGE(""https://docs.google.com/spreadsheets/d/1XL5vhW3sbDhbH9Cz0tuDiY8C3ctxq1tqvaCgkFb8cCA/edit?usp=sharing"",""บึงกาฬ!I470"")"),0)</f>
        <v>0</v>
      </c>
      <c r="J575" s="199">
        <f ca="1">IFERROR(__xludf.DUMMYFUNCTION("IMPORTRANGE(""https://docs.google.com/spreadsheets/d/1XL5vhW3sbDhbH9Cz0tuDiY8C3ctxq1tqvaCgkFb8cCA/edit?usp=sharing"",""บึงกาฬ!J470"")"),3)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IFERROR(__xludf.DUMMYFUNCTION("IMPORTRANGE(""https://docs.google.com/spreadsheets/d/1XL5vhW3sbDhbH9Cz0tuDiY8C3ctxq1tqvaCgkFb8cCA/edit?usp=sharing"",""บึงกาฬ!I471"")"),0)</f>
        <v>0</v>
      </c>
      <c r="J576" s="199">
        <f ca="1">IFERROR(__xludf.DUMMYFUNCTION("IMPORTRANGE(""https://docs.google.com/spreadsheets/d/1XL5vhW3sbDhbH9Cz0tuDiY8C3ctxq1tqvaCgkFb8cCA/edit?usp=sharing"",""บึงกาฬ!J471"")"),155)</f>
        <v>155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IFERROR(__xludf.DUMMYFUNCTION("IMPORTRANGE(""https://docs.google.com/spreadsheets/d/1XL5vhW3sbDhbH9Cz0tuDiY8C3ctxq1tqvaCgkFb8cCA/edit?usp=sharing"",""บึงกาฬ!I472"")"),0)</f>
        <v>0</v>
      </c>
      <c r="J577" s="190">
        <f ca="1">IFERROR(__xludf.DUMMYFUNCTION("IMPORTRANGE(""https://docs.google.com/spreadsheets/d/1XL5vhW3sbDhbH9Cz0tuDiY8C3ctxq1tqvaCgkFb8cCA/edit?usp=sharing"",""บึงกาฬ!J472"")"),1783)</f>
        <v>1783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IFERROR(__xludf.DUMMYFUNCTION("IMPORTRANGE(""https://docs.google.com/spreadsheets/d/1XL5vhW3sbDhbH9Cz0tuDiY8C3ctxq1tqvaCgkFb8cCA/edit?usp=sharing"",""บึงกาฬ!I473"")"),0)</f>
        <v>0</v>
      </c>
      <c r="J578" s="199">
        <f ca="1">IFERROR(__xludf.DUMMYFUNCTION("IMPORTRANGE(""https://docs.google.com/spreadsheets/d/1XL5vhW3sbDhbH9Cz0tuDiY8C3ctxq1tqvaCgkFb8cCA/edit?usp=sharing"",""บึงกาฬ!J473"")"),0)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IFERROR(__xludf.DUMMYFUNCTION("IMPORTRANGE(""https://docs.google.com/spreadsheets/d/1XL5vhW3sbDhbH9Cz0tuDiY8C3ctxq1tqvaCgkFb8cCA/edit?usp=sharing"",""บึงกาฬ!I474"")"),0)</f>
        <v>0</v>
      </c>
      <c r="J579" s="199">
        <f ca="1">IFERROR(__xludf.DUMMYFUNCTION("IMPORTRANGE(""https://docs.google.com/spreadsheets/d/1XL5vhW3sbDhbH9Cz0tuDiY8C3ctxq1tqvaCgkFb8cCA/edit?usp=sharing"",""บึงกาฬ!J474"")"),0)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IFERROR(__xludf.DUMMYFUNCTION("IMPORTRANGE(""https://docs.google.com/spreadsheets/d/1XL5vhW3sbDhbH9Cz0tuDiY8C3ctxq1tqvaCgkFb8cCA/edit?usp=sharing"",""บึงกาฬ!J475"")"),1)</f>
        <v>1</v>
      </c>
      <c r="K580" s="372">
        <f ca="1">IF(I580&gt;0,J580*100/I580,0)</f>
        <v>2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IFERROR(__xludf.DUMMYFUNCTION("IMPORTRANGE(""https://docs.google.com/spreadsheets/d/1XL5vhW3sbDhbH9Cz0tuDiY8C3ctxq1tqvaCgkFb8cCA/edit?usp=sharing"",""บึงกาฬ!L476"")"),0)</f>
        <v>0</v>
      </c>
      <c r="M581" s="166"/>
      <c r="N581" s="170">
        <f ca="1">IFERROR(__xludf.DUMMYFUNCTION("IMPORTRANGE(""https://docs.google.com/spreadsheets/d/1XL5vhW3sbDhbH9Cz0tuDiY8C3ctxq1tqvaCgkFb8cCA/edit?usp=sharing"",""บึงกาฬ!M476"")"),0)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IFERROR(__xludf.DUMMYFUNCTION("IMPORTRANGE(""https://docs.google.com/spreadsheets/d/1XL5vhW3sbDhbH9Cz0tuDiY8C3ctxq1tqvaCgkFb8cCA/edit?usp=sharing"",""บึงกาฬ!L477"")"),144350)</f>
        <v>144350</v>
      </c>
      <c r="M582" s="167"/>
      <c r="N582" s="170">
        <f ca="1">IFERROR(__xludf.DUMMYFUNCTION("IMPORTRANGE(""https://docs.google.com/spreadsheets/d/1XL5vhW3sbDhbH9Cz0tuDiY8C3ctxq1tqvaCgkFb8cCA/edit?usp=sharing"",""บึงกาฬ!M477"")"),0)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IFERROR(__xludf.DUMMYFUNCTION("IMPORTRANGE(""https://docs.google.com/spreadsheets/d/1XL5vhW3sbDhbH9Cz0tuDiY8C3ctxq1tqvaCgkFb8cCA/edit?usp=sharing"",""บึงกาฬ!L478"")"),0)</f>
        <v>0</v>
      </c>
      <c r="M583" s="170"/>
      <c r="N583" s="170">
        <f ca="1">IFERROR(__xludf.DUMMYFUNCTION("IMPORTRANGE(""https://docs.google.com/spreadsheets/d/1XL5vhW3sbDhbH9Cz0tuDiY8C3ctxq1tqvaCgkFb8cCA/edit?usp=sharing"",""บึงกาฬ!M478"")"),0)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IFERROR(__xludf.DUMMYFUNCTION("IMPORTRANGE(""https://docs.google.com/spreadsheets/d/1XL5vhW3sbDhbH9Cz0tuDiY8C3ctxq1tqvaCgkFb8cCA/edit?usp=sharing"",""บึงกาฬ!L479"")"),144350)</f>
        <v>144350</v>
      </c>
      <c r="M584" s="170"/>
      <c r="N584" s="170">
        <f ca="1">IFERROR(__xludf.DUMMYFUNCTION("IMPORTRANGE(""https://docs.google.com/spreadsheets/d/1XL5vhW3sbDhbH9Cz0tuDiY8C3ctxq1tqvaCgkFb8cCA/edit?usp=sharing"",""บึงกาฬ!M479"")"),0)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IFERROR(__xludf.DUMMYFUNCTION("IMPORTRANGE(""https://docs.google.com/spreadsheets/d/1XL5vhW3sbDhbH9Cz0tuDiY8C3ctxq1tqvaCgkFb8cCA/edit?usp=sharing"",""บึงกาฬ!M480"")"),0)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IFERROR(__xludf.DUMMYFUNCTION("IMPORTRANGE(""https://docs.google.com/spreadsheets/d/1XL5vhW3sbDhbH9Cz0tuDiY8C3ctxq1tqvaCgkFb8cCA/edit?usp=sharing"",""บึงกาฬ!M481"")"),0)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IFERROR(__xludf.DUMMYFUNCTION("IMPORTRANGE(""https://docs.google.com/spreadsheets/d/1XL5vhW3sbDhbH9Cz0tuDiY8C3ctxq1tqvaCgkFb8cCA/edit?usp=sharing"",""บึงกาฬ!M482"")"),0)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IFERROR(__xludf.DUMMYFUNCTION("IMPORTRANGE(""https://docs.google.com/spreadsheets/d/1XL5vhW3sbDhbH9Cz0tuDiY8C3ctxq1tqvaCgkFb8cCA/edit?usp=sharing"",""บึงกาฬ!M483"")"),0)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IFERROR(__xludf.DUMMYFUNCTION("IMPORTRANGE(""https://docs.google.com/spreadsheets/d/1XL5vhW3sbDhbH9Cz0tuDiY8C3ctxq1tqvaCgkFb8cCA/edit?usp=sharing"",""บึงกาฬ!I484"")"),50)</f>
        <v>50</v>
      </c>
      <c r="J589" s="189">
        <f ca="1">IFERROR(__xludf.DUMMYFUNCTION("IMPORTRANGE(""https://docs.google.com/spreadsheets/d/1XL5vhW3sbDhbH9Cz0tuDiY8C3ctxq1tqvaCgkFb8cCA/edit?usp=sharing"",""บึงกาฬ!J484"")"),11)</f>
        <v>11</v>
      </c>
      <c r="K589" s="165">
        <f t="shared" ref="K589:K596" ca="1" si="125">IF(I589&gt;0,J589*100/I589,0)</f>
        <v>22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9">
        <f ca="1">IFERROR(__xludf.DUMMYFUNCTION("IMPORTRANGE(""https://docs.google.com/spreadsheets/d/1XL5vhW3sbDhbH9Cz0tuDiY8C3ctxq1tqvaCgkFb8cCA/edit?usp=sharing"",""บึงกาฬ!J485"")"),58.26)</f>
        <v>58.26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IFERROR(__xludf.DUMMYFUNCTION("IMPORTRANGE(""https://docs.google.com/spreadsheets/d/1XL5vhW3sbDhbH9Cz0tuDiY8C3ctxq1tqvaCgkFb8cCA/edit?usp=sharing"",""บึงกาฬ!I486"")"),50)</f>
        <v>50</v>
      </c>
      <c r="J591" s="189">
        <f ca="1">IFERROR(__xludf.DUMMYFUNCTION("IMPORTRANGE(""https://docs.google.com/spreadsheets/d/1XL5vhW3sbDhbH9Cz0tuDiY8C3ctxq1tqvaCgkFb8cCA/edit?usp=sharing"",""บึงกาฬ!J486"")"),11)</f>
        <v>11</v>
      </c>
      <c r="K591" s="165">
        <f t="shared" ca="1" si="125"/>
        <v>22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9">
        <f ca="1">IFERROR(__xludf.DUMMYFUNCTION("IMPORTRANGE(""https://docs.google.com/spreadsheets/d/1XL5vhW3sbDhbH9Cz0tuDiY8C3ctxq1tqvaCgkFb8cCA/edit?usp=sharing"",""บึงกาฬ!J487"")"),32.45)</f>
        <v>32.450000000000003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IFERROR(__xludf.DUMMYFUNCTION("IMPORTRANGE(""https://docs.google.com/spreadsheets/d/1XL5vhW3sbDhbH9Cz0tuDiY8C3ctxq1tqvaCgkFb8cCA/edit?usp=sharing"",""บึงกาฬ!I488"")"),50)</f>
        <v>50</v>
      </c>
      <c r="J593" s="189">
        <f ca="1">IFERROR(__xludf.DUMMYFUNCTION("IMPORTRANGE(""https://docs.google.com/spreadsheets/d/1XL5vhW3sbDhbH9Cz0tuDiY8C3ctxq1tqvaCgkFb8cCA/edit?usp=sharing"",""บึงกาฬ!J488"")"),1)</f>
        <v>1</v>
      </c>
      <c r="K593" s="165">
        <f t="shared" ca="1" si="125"/>
        <v>2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9">
        <f ca="1">IFERROR(__xludf.DUMMYFUNCTION("IMPORTRANGE(""https://docs.google.com/spreadsheets/d/1XL5vhW3sbDhbH9Cz0tuDiY8C3ctxq1tqvaCgkFb8cCA/edit?usp=sharing"",""บึงกาฬ!J489"")"),12.03)</f>
        <v>12.03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IFERROR(__xludf.DUMMYFUNCTION("IMPORTRANGE(""https://docs.google.com/spreadsheets/d/1XL5vhW3sbDhbH9Cz0tuDiY8C3ctxq1tqvaCgkFb8cCA/edit?usp=sharing"",""บึงกาฬ!I490"")"),50)</f>
        <v>50</v>
      </c>
      <c r="J595" s="189">
        <f ca="1">IFERROR(__xludf.DUMMYFUNCTION("IMPORTRANGE(""https://docs.google.com/spreadsheets/d/1XL5vhW3sbDhbH9Cz0tuDiY8C3ctxq1tqvaCgkFb8cCA/edit?usp=sharing"",""บึงกาฬ!J490"")"),1)</f>
        <v>1</v>
      </c>
      <c r="K595" s="165">
        <f t="shared" ca="1" si="125"/>
        <v>2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IFERROR(__xludf.DUMMYFUNCTION("IMPORTRANGE(""https://docs.google.com/spreadsheets/d/1XL5vhW3sbDhbH9Cz0tuDiY8C3ctxq1tqvaCgkFb8cCA/edit?usp=sharing"",""บึงกาฬ!J491"")"),0.6)</f>
        <v>0.6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7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IFERROR(__xludf.DUMMYFUNCTION("IMPORTRANGE(""https://docs.google.com/spreadsheets/d/1XL5vhW3sbDhbH9Cz0tuDiY8C3ctxq1tqvaCgkFb8cCA/edit?usp=sharing"",""บึงกาฬ!L493"")"),0)</f>
        <v>0</v>
      </c>
      <c r="M598" s="166"/>
      <c r="N598" s="170">
        <f ca="1">IFERROR(__xludf.DUMMYFUNCTION("IMPORTRANGE(""https://docs.google.com/spreadsheets/d/1XL5vhW3sbDhbH9Cz0tuDiY8C3ctxq1tqvaCgkFb8cCA/edit?usp=sharing"",""บึงกาฬ!M493"")"),0)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IFERROR(__xludf.DUMMYFUNCTION("IMPORTRANGE(""https://docs.google.com/spreadsheets/d/1XL5vhW3sbDhbH9Cz0tuDiY8C3ctxq1tqvaCgkFb8cCA/edit?usp=sharing"",""บึงกาฬ!L494"")"),5350)</f>
        <v>5350</v>
      </c>
      <c r="M599" s="167"/>
      <c r="N599" s="170">
        <f ca="1">IFERROR(__xludf.DUMMYFUNCTION("IMPORTRANGE(""https://docs.google.com/spreadsheets/d/1XL5vhW3sbDhbH9Cz0tuDiY8C3ctxq1tqvaCgkFb8cCA/edit?usp=sharing"",""บึงกาฬ!M494"")"),0)</f>
        <v>0</v>
      </c>
      <c r="O599" s="170">
        <f t="shared" ca="1" si="126"/>
        <v>0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IFERROR(__xludf.DUMMYFUNCTION("IMPORTRANGE(""https://docs.google.com/spreadsheets/d/1XL5vhW3sbDhbH9Cz0tuDiY8C3ctxq1tqvaCgkFb8cCA/edit?usp=sharing"",""บึงกาฬ!L495"")"),0)</f>
        <v>0</v>
      </c>
      <c r="M600" s="170"/>
      <c r="N600" s="170">
        <f ca="1">IFERROR(__xludf.DUMMYFUNCTION("IMPORTRANGE(""https://docs.google.com/spreadsheets/d/1XL5vhW3sbDhbH9Cz0tuDiY8C3ctxq1tqvaCgkFb8cCA/edit?usp=sharing"",""บึงกาฬ!M495"")"),0)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IFERROR(__xludf.DUMMYFUNCTION("IMPORTRANGE(""https://docs.google.com/spreadsheets/d/1XL5vhW3sbDhbH9Cz0tuDiY8C3ctxq1tqvaCgkFb8cCA/edit?usp=sharing"",""บึงกาฬ!L496"")"),5350)</f>
        <v>5350</v>
      </c>
      <c r="M601" s="170"/>
      <c r="N601" s="170">
        <f ca="1">IFERROR(__xludf.DUMMYFUNCTION("IMPORTRANGE(""https://docs.google.com/spreadsheets/d/1XL5vhW3sbDhbH9Cz0tuDiY8C3ctxq1tqvaCgkFb8cCA/edit?usp=sharing"",""บึงกาฬ!M496"")"),0)</f>
        <v>0</v>
      </c>
      <c r="O601" s="170">
        <f t="shared" ca="1" si="126"/>
        <v>0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IFERROR(__xludf.DUMMYFUNCTION("IMPORTRANGE(""https://docs.google.com/spreadsheets/d/1XL5vhW3sbDhbH9Cz0tuDiY8C3ctxq1tqvaCgkFb8cCA/edit?usp=sharing"",""บึงกาฬ!M497"")"),0)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IFERROR(__xludf.DUMMYFUNCTION("IMPORTRANGE(""https://docs.google.com/spreadsheets/d/1XL5vhW3sbDhbH9Cz0tuDiY8C3ctxq1tqvaCgkFb8cCA/edit?usp=sharing"",""บึงกาฬ!M498"")"),0)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IFERROR(__xludf.DUMMYFUNCTION("IMPORTRANGE(""https://docs.google.com/spreadsheets/d/1XL5vhW3sbDhbH9Cz0tuDiY8C3ctxq1tqvaCgkFb8cCA/edit?usp=sharing"",""บึงกาฬ!J502"")"),0)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IFERROR(__xludf.DUMMYFUNCTION("IMPORTRANGE(""https://docs.google.com/spreadsheets/d/1XL5vhW3sbDhbH9Cz0tuDiY8C3ctxq1tqvaCgkFb8cCA/edit?usp=sharing"",""บึงกาฬ!J503"")"),1)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IFERROR(__xludf.DUMMYFUNCTION("IMPORTRANGE(""https://docs.google.com/spreadsheets/d/1XL5vhW3sbDhbH9Cz0tuDiY8C3ctxq1tqvaCgkFb8cCA/edit?usp=sharing"",""บึงกาฬ!J166"")"),0)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IFERROR(__xludf.DUMMYFUNCTION("IMPORTRANGE(""https://docs.google.com/spreadsheets/d/1XL5vhW3sbDhbH9Cz0tuDiY8C3ctxq1tqvaCgkFb8cCA/edit?usp=sharing"",""บึงกาฬ!J166"")"),0)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IFERROR(__xludf.DUMMYFUNCTION("IMPORTRANGE(""https://docs.google.com/spreadsheets/d/1XL5vhW3sbDhbH9Cz0tuDiY8C3ctxq1tqvaCgkFb8cCA/edit?usp=sharing"",""บึงกาฬ!I506"")"),50)</f>
        <v>50</v>
      </c>
      <c r="J611" s="164">
        <f ca="1">IFERROR(__xludf.DUMMYFUNCTION("IMPORTRANGE(""https://docs.google.com/spreadsheets/d/1XL5vhW3sbDhbH9Cz0tuDiY8C3ctxq1tqvaCgkFb8cCA/edit?usp=sharing"",""บึงกาฬ!J506"")"),0)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IFERROR(__xludf.DUMMYFUNCTION("IMPORTRANGE(""https://docs.google.com/spreadsheets/d/1XL5vhW3sbDhbH9Cz0tuDiY8C3ctxq1tqvaCgkFb8cCA/edit?usp=sharing"",""บึงกาฬ!I507"")"),0)</f>
        <v>0</v>
      </c>
      <c r="J612" s="199">
        <f ca="1">IFERROR(__xludf.DUMMYFUNCTION("IMPORTRANGE(""https://docs.google.com/spreadsheets/d/1XL5vhW3sbDhbH9Cz0tuDiY8C3ctxq1tqvaCgkFb8cCA/edit?usp=sharing"",""บึงกาฬ!J507"")"),0)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IFERROR(__xludf.DUMMYFUNCTION("IMPORTRANGE(""https://docs.google.com/spreadsheets/d/1XL5vhW3sbDhbH9Cz0tuDiY8C3ctxq1tqvaCgkFb8cCA/edit?usp=sharing"",""บึงกาฬ!I508"")"),0)</f>
        <v>0</v>
      </c>
      <c r="J613" s="199">
        <f ca="1">IFERROR(__xludf.DUMMYFUNCTION("IMPORTRANGE(""https://docs.google.com/spreadsheets/d/1XL5vhW3sbDhbH9Cz0tuDiY8C3ctxq1tqvaCgkFb8cCA/edit?usp=sharing"",""บึงกาฬ!J508"")"),0)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IFERROR(__xludf.DUMMYFUNCTION("IMPORTRANGE(""https://docs.google.com/spreadsheets/d/1XL5vhW3sbDhbH9Cz0tuDiY8C3ctxq1tqvaCgkFb8cCA/edit?usp=sharing"",""บึงกาฬ!I509"")"),0)</f>
        <v>0</v>
      </c>
      <c r="J614" s="199">
        <f ca="1">IFERROR(__xludf.DUMMYFUNCTION("IMPORTRANGE(""https://docs.google.com/spreadsheets/d/1XL5vhW3sbDhbH9Cz0tuDiY8C3ctxq1tqvaCgkFb8cCA/edit?usp=sharing"",""บึงกาฬ!J509"")"),0)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IFERROR(__xludf.DUMMYFUNCTION("IMPORTRANGE(""https://docs.google.com/spreadsheets/d/1XL5vhW3sbDhbH9Cz0tuDiY8C3ctxq1tqvaCgkFb8cCA/edit?usp=sharing"",""บึงกาฬ!I510"")"),0)</f>
        <v>0</v>
      </c>
      <c r="J615" s="199">
        <f ca="1">IFERROR(__xludf.DUMMYFUNCTION("IMPORTRANGE(""https://docs.google.com/spreadsheets/d/1XL5vhW3sbDhbH9Cz0tuDiY8C3ctxq1tqvaCgkFb8cCA/edit?usp=sharing"",""บึงกาฬ!J510"")"),0)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IFERROR(__xludf.DUMMYFUNCTION("IMPORTRANGE(""https://docs.google.com/spreadsheets/d/1XL5vhW3sbDhbH9Cz0tuDiY8C3ctxq1tqvaCgkFb8cCA/edit?usp=sharing"",""บึงกาฬ!I511"")"),0)</f>
        <v>0</v>
      </c>
      <c r="J616" s="199">
        <f ca="1">IFERROR(__xludf.DUMMYFUNCTION("IMPORTRANGE(""https://docs.google.com/spreadsheets/d/1XL5vhW3sbDhbH9Cz0tuDiY8C3ctxq1tqvaCgkFb8cCA/edit?usp=sharing"",""บึงกาฬ!J511"")"),0)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IFERROR(__xludf.DUMMYFUNCTION("IMPORTRANGE(""https://docs.google.com/spreadsheets/d/1XL5vhW3sbDhbH9Cz0tuDiY8C3ctxq1tqvaCgkFb8cCA/edit?usp=sharing"",""บึงกาฬ!I512"")"),0)</f>
        <v>0</v>
      </c>
      <c r="J617" s="189">
        <f ca="1">IFERROR(__xludf.DUMMYFUNCTION("IMPORTRANGE(""https://docs.google.com/spreadsheets/d/1XL5vhW3sbDhbH9Cz0tuDiY8C3ctxq1tqvaCgkFb8cCA/edit?usp=sharing"",""บึงกาฬ!J512"")"),0)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IFERROR(__xludf.DUMMYFUNCTION("IMPORTRANGE(""https://docs.google.com/spreadsheets/d/1XL5vhW3sbDhbH9Cz0tuDiY8C3ctxq1tqvaCgkFb8cCA/edit?usp=sharing"",""บึงกาฬ!I513"")"),0)</f>
        <v>0</v>
      </c>
      <c r="J618" s="190">
        <f ca="1">IFERROR(__xludf.DUMMYFUNCTION("IMPORTRANGE(""https://docs.google.com/spreadsheets/d/1XL5vhW3sbDhbH9Cz0tuDiY8C3ctxq1tqvaCgkFb8cCA/edit?usp=sharing"",""บึงกาฬ!J513"")"),0)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IFERROR(__xludf.DUMMYFUNCTION("IMPORTRANGE(""https://docs.google.com/spreadsheets/d/1XL5vhW3sbDhbH9Cz0tuDiY8C3ctxq1tqvaCgkFb8cCA/edit?usp=sharing"",""บึงกาฬ!I514"")"),0)</f>
        <v>0</v>
      </c>
      <c r="J619" s="190">
        <f ca="1">IFERROR(__xludf.DUMMYFUNCTION("IMPORTRANGE(""https://docs.google.com/spreadsheets/d/1XL5vhW3sbDhbH9Cz0tuDiY8C3ctxq1tqvaCgkFb8cCA/edit?usp=sharing"",""บึงกาฬ!J514"")"),0)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IFERROR(__xludf.DUMMYFUNCTION("IMPORTRANGE(""https://docs.google.com/spreadsheets/d/1XL5vhW3sbDhbH9Cz0tuDiY8C3ctxq1tqvaCgkFb8cCA/edit?usp=sharing"",""บึงกาฬ!I515"")"),0)</f>
        <v>0</v>
      </c>
      <c r="J620" s="204">
        <f ca="1">IFERROR(__xludf.DUMMYFUNCTION("IMPORTRANGE(""https://docs.google.com/spreadsheets/d/1XL5vhW3sbDhbH9Cz0tuDiY8C3ctxq1tqvaCgkFb8cCA/edit?usp=sharing"",""บึงกาฬ!J515"")"),0)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IFERROR(__xludf.DUMMYFUNCTION("IMPORTRANGE(""https://docs.google.com/spreadsheets/d/1XL5vhW3sbDhbH9Cz0tuDiY8C3ctxq1tqvaCgkFb8cCA/edit?usp=sharing"",""บึงกาฬ!I516"")"),0)</f>
        <v>0</v>
      </c>
      <c r="J621" s="204">
        <f ca="1">IFERROR(__xludf.DUMMYFUNCTION("IMPORTRANGE(""https://docs.google.com/spreadsheets/d/1XL5vhW3sbDhbH9Cz0tuDiY8C3ctxq1tqvaCgkFb8cCA/edit?usp=sharing"",""บึงกาฬ!J516"")"),0)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IFERROR(__xludf.DUMMYFUNCTION("IMPORTRANGE(""https://docs.google.com/spreadsheets/d/1XL5vhW3sbDhbH9Cz0tuDiY8C3ctxq1tqvaCgkFb8cCA/edit?usp=sharing"",""บึงกาฬ!I517"")"),0)</f>
        <v>0</v>
      </c>
      <c r="J622" s="190">
        <f ca="1">IFERROR(__xludf.DUMMYFUNCTION("IMPORTRANGE(""https://docs.google.com/spreadsheets/d/1XL5vhW3sbDhbH9Cz0tuDiY8C3ctxq1tqvaCgkFb8cCA/edit?usp=sharing"",""บึงกาฬ!J517"")"),0)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IFERROR(__xludf.DUMMYFUNCTION("IMPORTRANGE(""https://docs.google.com/spreadsheets/d/1XL5vhW3sbDhbH9Cz0tuDiY8C3ctxq1tqvaCgkFb8cCA/edit?usp=sharing"",""บึงกาฬ!I518"")"),0)</f>
        <v>0</v>
      </c>
      <c r="J623" s="190">
        <f ca="1">IFERROR(__xludf.DUMMYFUNCTION("IMPORTRANGE(""https://docs.google.com/spreadsheets/d/1XL5vhW3sbDhbH9Cz0tuDiY8C3ctxq1tqvaCgkFb8cCA/edit?usp=sharing"",""บึงกาฬ!J518"")"),0)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IFERROR(__xludf.DUMMYFUNCTION("IMPORTRANGE(""https://docs.google.com/spreadsheets/d/1XL5vhW3sbDhbH9Cz0tuDiY8C3ctxq1tqvaCgkFb8cCA/edit?usp=sharing"",""บึงกาฬ!I519"")"),0)</f>
        <v>0</v>
      </c>
      <c r="J624" s="189">
        <f ca="1">IFERROR(__xludf.DUMMYFUNCTION("IMPORTRANGE(""https://docs.google.com/spreadsheets/d/1XL5vhW3sbDhbH9Cz0tuDiY8C3ctxq1tqvaCgkFb8cCA/edit?usp=sharing"",""บึงกาฬ!J519"")"),0)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IFERROR(__xludf.DUMMYFUNCTION("IMPORTRANGE(""https://docs.google.com/spreadsheets/d/1XL5vhW3sbDhbH9Cz0tuDiY8C3ctxq1tqvaCgkFb8cCA/edit?usp=sharing"",""บึงกาฬ!I520"")"),0)</f>
        <v>0</v>
      </c>
      <c r="J625" s="190">
        <f ca="1">IFERROR(__xludf.DUMMYFUNCTION("IMPORTRANGE(""https://docs.google.com/spreadsheets/d/1XL5vhW3sbDhbH9Cz0tuDiY8C3ctxq1tqvaCgkFb8cCA/edit?usp=sharing"",""บึงกาฬ!J520"")"),0)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IFERROR(__xludf.DUMMYFUNCTION("IMPORTRANGE(""https://docs.google.com/spreadsheets/d/1XL5vhW3sbDhbH9Cz0tuDiY8C3ctxq1tqvaCgkFb8cCA/edit?usp=sharing"",""บึงกาฬ!I521"")"),0)</f>
        <v>0</v>
      </c>
      <c r="J626" s="190">
        <f ca="1">IFERROR(__xludf.DUMMYFUNCTION("IMPORTRANGE(""https://docs.google.com/spreadsheets/d/1XL5vhW3sbDhbH9Cz0tuDiY8C3ctxq1tqvaCgkFb8cCA/edit?usp=sharing"",""บึงกาฬ!J521"")"),0)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1">
        <f ca="1">IFERROR(__xludf.DUMMYFUNCTION("IMPORTRANGE(""https://docs.google.com/spreadsheets/d/1XL5vhW3sbDhbH9Cz0tuDiY8C3ctxq1tqvaCgkFb8cCA/edit?usp=sharing"",""บึงกาฬ!J523"")"),549693.85)</f>
        <v>549693.85</v>
      </c>
      <c r="K628" s="342">
        <f t="shared" ref="K628:K635" ca="1" si="129">IF(I628&gt;0,J628*100/I628,0)</f>
        <v>12.706419093078193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IFERROR(__xludf.DUMMYFUNCTION("IMPORTRANGE(""https://docs.google.com/spreadsheets/d/1XL5vhW3sbDhbH9Cz0tuDiY8C3ctxq1tqvaCgkFb8cCA/edit?usp=sharing"",""บึงกาฬ!I524"")"),284)</f>
        <v>284</v>
      </c>
      <c r="J629" s="341">
        <f ca="1">IFERROR(__xludf.DUMMYFUNCTION("IMPORTRANGE(""https://docs.google.com/spreadsheets/d/1XL5vhW3sbDhbH9Cz0tuDiY8C3ctxq1tqvaCgkFb8cCA/edit?usp=sharing"",""บึงกาฬ!J524"")"),36)</f>
        <v>36</v>
      </c>
      <c r="K629" s="342">
        <f t="shared" ca="1" si="129"/>
        <v>12.67605633802817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IFERROR(__xludf.DUMMYFUNCTION("IMPORTRANGE(""https://docs.google.com/spreadsheets/d/1XL5vhW3sbDhbH9Cz0tuDiY8C3ctxq1tqvaCgkFb8cCA/edit?usp=sharing"",""บึงกาฬ!I525"")"),1444097.44)</f>
        <v>1444097.44</v>
      </c>
      <c r="J630" s="341">
        <f ca="1">IFERROR(__xludf.DUMMYFUNCTION("IMPORTRANGE(""https://docs.google.com/spreadsheets/d/1XL5vhW3sbDhbH9Cz0tuDiY8C3ctxq1tqvaCgkFb8cCA/edit?usp=sharing"",""บึงกาฬ!J525"")"),197589.68)</f>
        <v>197589.68</v>
      </c>
      <c r="K630" s="342">
        <f t="shared" ca="1" si="129"/>
        <v>13.682572555491824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IFERROR(__xludf.DUMMYFUNCTION("IMPORTRANGE(""https://docs.google.com/spreadsheets/d/1XL5vhW3sbDhbH9Cz0tuDiY8C3ctxq1tqvaCgkFb8cCA/edit?usp=sharing"",""บึงกาฬ!I526"")"),67)</f>
        <v>67</v>
      </c>
      <c r="J631" s="341">
        <f ca="1">IFERROR(__xludf.DUMMYFUNCTION("IMPORTRANGE(""https://docs.google.com/spreadsheets/d/1XL5vhW3sbDhbH9Cz0tuDiY8C3ctxq1tqvaCgkFb8cCA/edit?usp=sharing"",""บึงกาฬ!J526"")"),41)</f>
        <v>41</v>
      </c>
      <c r="K631" s="342">
        <f t="shared" ca="1" si="129"/>
        <v>61.194029850746269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IFERROR(__xludf.DUMMYFUNCTION("IMPORTRANGE(""https://docs.google.com/spreadsheets/d/1XL5vhW3sbDhbH9Cz0tuDiY8C3ctxq1tqvaCgkFb8cCA/edit?usp=sharing"",""บึงกาฬ!I527"")"),5947.5)</f>
        <v>5947.5</v>
      </c>
      <c r="J632" s="341">
        <f ca="1">IFERROR(__xludf.DUMMYFUNCTION("IMPORTRANGE(""https://docs.google.com/spreadsheets/d/1XL5vhW3sbDhbH9Cz0tuDiY8C3ctxq1tqvaCgkFb8cCA/edit?usp=sharing"",""บึงกาฬ!J527"")"),0)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IFERROR(__xludf.DUMMYFUNCTION("IMPORTRANGE(""https://docs.google.com/spreadsheets/d/1XL5vhW3sbDhbH9Cz0tuDiY8C3ctxq1tqvaCgkFb8cCA/edit?usp=sharing"",""บึงกาฬ!I528"")"),2)</f>
        <v>2</v>
      </c>
      <c r="J633" s="341">
        <f ca="1">IFERROR(__xludf.DUMMYFUNCTION("IMPORTRANGE(""https://docs.google.com/spreadsheets/d/1XL5vhW3sbDhbH9Cz0tuDiY8C3ctxq1tqvaCgkFb8cCA/edit?usp=sharing"",""บึงกาฬ!J528"")"),0)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IFERROR(__xludf.DUMMYFUNCTION("IMPORTRANGE(""https://docs.google.com/spreadsheets/d/1XL5vhW3sbDhbH9Cz0tuDiY8C3ctxq1tqvaCgkFb8cCA/edit?usp=sharing"",""บึงกาฬ!I529"")"),2400000)</f>
        <v>2400000</v>
      </c>
      <c r="J634" s="341">
        <f ca="1">IFERROR(__xludf.DUMMYFUNCTION("IMPORTRANGE(""https://docs.google.com/spreadsheets/d/1XL5vhW3sbDhbH9Cz0tuDiY8C3ctxq1tqvaCgkFb8cCA/edit?usp=sharing"",""บึงกาฬ!J529"")"),0)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IFERROR(__xludf.DUMMYFUNCTION("IMPORTRANGE(""https://docs.google.com/spreadsheets/d/1XL5vhW3sbDhbH9Cz0tuDiY8C3ctxq1tqvaCgkFb8cCA/edit?usp=sharing"",""บึงกาฬ!I530"")"),60)</f>
        <v>60</v>
      </c>
      <c r="J635" s="504">
        <f ca="1">IFERROR(__xludf.DUMMYFUNCTION("IMPORTRANGE(""https://docs.google.com/spreadsheets/d/1XL5vhW3sbDhbH9Cz0tuDiY8C3ctxq1tqvaCgkFb8cCA/edit?usp=sharing"",""บึงกาฬ!J530"")"),0)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250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9234062</v>
      </c>
      <c r="M8" s="23">
        <f t="shared" ca="1" si="0"/>
        <v>3350766</v>
      </c>
      <c r="N8" s="23">
        <f t="shared" ca="1" si="0"/>
        <v>3229427.38</v>
      </c>
      <c r="O8" s="22">
        <f t="shared" ref="O8:O16" ca="1" si="1">IF(L8&gt;0,N8*100/L8,0)</f>
        <v>34.97298783568921</v>
      </c>
      <c r="P8" s="22">
        <f t="shared" ref="P8:P16" ca="1" si="2">IF(M8&gt;0,N8*100/M8,0)</f>
        <v>96.378779658143841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9234062</v>
      </c>
      <c r="M10" s="30">
        <f t="shared" ca="1" si="4"/>
        <v>3350766</v>
      </c>
      <c r="N10" s="30">
        <f t="shared" ca="1" si="4"/>
        <v>3229427.38</v>
      </c>
      <c r="O10" s="29">
        <f t="shared" ca="1" si="1"/>
        <v>34.97298783568921</v>
      </c>
      <c r="P10" s="29">
        <f t="shared" ca="1" si="2"/>
        <v>96.378779658143841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8375162</v>
      </c>
      <c r="M12" s="38">
        <f t="shared" ca="1" si="6"/>
        <v>2491866</v>
      </c>
      <c r="N12" s="38">
        <f t="shared" ca="1" si="6"/>
        <v>2370527.38</v>
      </c>
      <c r="O12" s="38">
        <f t="shared" ca="1" si="1"/>
        <v>28.304257040042927</v>
      </c>
      <c r="P12" s="38">
        <f t="shared" ca="1" si="2"/>
        <v>95.130612159722872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5972362</v>
      </c>
      <c r="M14" s="38">
        <f t="shared" si="8"/>
        <v>0</v>
      </c>
      <c r="N14" s="38">
        <f t="shared" ca="1" si="8"/>
        <v>366950.37999999989</v>
      </c>
      <c r="O14" s="38">
        <f t="shared" ca="1" si="1"/>
        <v>6.1441416310665673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3350766</v>
      </c>
      <c r="N18" s="23">
        <f t="shared" ca="1" si="11"/>
        <v>2862477</v>
      </c>
      <c r="O18" s="22">
        <f t="shared" ref="O18:O20" ca="1" si="12">IF(L18&gt;0,N18*100/L18,0)</f>
        <v>53.807324058035306</v>
      </c>
      <c r="P18" s="22">
        <f t="shared" ref="P18:P26" ca="1" si="13">IF(M18&gt;0,N18*100/M18,0)</f>
        <v>85.427541045838467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3350766</v>
      </c>
      <c r="N20" s="30">
        <f t="shared" ca="1" si="15"/>
        <v>2862477</v>
      </c>
      <c r="O20" s="29">
        <f t="shared" ca="1" si="12"/>
        <v>53.807324058035306</v>
      </c>
      <c r="P20" s="29">
        <f t="shared" ca="1" si="13"/>
        <v>85.427541045838467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2491866</v>
      </c>
      <c r="N22" s="38">
        <f t="shared" ca="1" si="18"/>
        <v>2003577</v>
      </c>
      <c r="O22" s="38">
        <f t="shared" ca="1" si="17"/>
        <v>44.91353328259693</v>
      </c>
      <c r="P22" s="38">
        <f t="shared" ca="1" si="13"/>
        <v>80.404684682081623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3914197</v>
      </c>
      <c r="M28" s="23">
        <f t="shared" si="23"/>
        <v>0</v>
      </c>
      <c r="N28" s="23">
        <f t="shared" ca="1" si="23"/>
        <v>366950.37999999989</v>
      </c>
      <c r="O28" s="22">
        <f t="shared" ref="O28:O30" ca="1" si="24">IF(L28&gt;0,N28*100/L28,0)</f>
        <v>9.3748572184792902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3914197</v>
      </c>
      <c r="M30" s="30">
        <f t="shared" si="27"/>
        <v>0</v>
      </c>
      <c r="N30" s="30">
        <f t="shared" ca="1" si="27"/>
        <v>366950.37999999989</v>
      </c>
      <c r="O30" s="29">
        <f t="shared" ca="1" si="24"/>
        <v>9.3748572184792902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3914197</v>
      </c>
      <c r="M32" s="38">
        <f t="shared" si="30"/>
        <v>0</v>
      </c>
      <c r="N32" s="38">
        <f t="shared" ca="1" si="30"/>
        <v>366950.37999999989</v>
      </c>
      <c r="O32" s="38">
        <f t="shared" ca="1" si="29"/>
        <v>9.3748572184792902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3914197</v>
      </c>
      <c r="M34" s="38">
        <f t="shared" si="32"/>
        <v>0</v>
      </c>
      <c r="N34" s="38">
        <f t="shared" ca="1" si="32"/>
        <v>366950.37999999989</v>
      </c>
      <c r="O34" s="38">
        <f t="shared" ca="1" si="29"/>
        <v>9.3748572184792902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3350766</v>
      </c>
      <c r="N37" s="54">
        <f t="shared" ca="1" si="33"/>
        <v>2862477</v>
      </c>
      <c r="O37" s="55">
        <f t="shared" ca="1" si="29"/>
        <v>53.807324058035306</v>
      </c>
      <c r="P37" s="55">
        <f t="shared" ca="1" si="25"/>
        <v>85.427541045838467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1215500</v>
      </c>
      <c r="N41" s="78">
        <f t="shared" ca="1" si="34"/>
        <v>1167633</v>
      </c>
      <c r="O41" s="77">
        <f t="shared" ref="O41:O43" ca="1" si="35">IF(L41&gt;0,N41*100/L41,0)</f>
        <v>74.013247971602439</v>
      </c>
      <c r="P41" s="77">
        <f t="shared" ref="P41:P43" ca="1" si="36">IF(M41&gt;0,N41*100/M41,0)</f>
        <v>96.061949814890994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1215500</v>
      </c>
      <c r="N43" s="78">
        <f t="shared" ca="1" si="38"/>
        <v>1167633</v>
      </c>
      <c r="O43" s="77">
        <f t="shared" ca="1" si="35"/>
        <v>74.013247971602439</v>
      </c>
      <c r="P43" s="77">
        <f t="shared" ca="1" si="36"/>
        <v>96.061949814890994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533">
        <f ca="1">IFERROR(__xludf.DUMMYFUNCTION("IMPORTRANGE(""https://docs.google.com/spreadsheets/d/1Yj_ptqi66GCucihVvJfMjLAmec39IyEx_6qawtMGysU/edit?usp=sharing"",""สบก!Q44"")"),362000)</f>
        <v>362000</v>
      </c>
      <c r="N45" s="533">
        <f ca="1">IFERROR(__xludf.DUMMYFUNCTION("IMPORTRANGE(""https://docs.google.com/spreadsheets/d/1Yj_ptqi66GCucihVvJfMjLAmec39IyEx_6qawtMGysU/edit?usp=sharing"",""สบก!R44"")"),314133)</f>
        <v>314133</v>
      </c>
      <c r="O45" s="534">
        <f ca="1">IF(L45&gt;0,N45*100/L45,0)</f>
        <v>43.382543847534869</v>
      </c>
      <c r="P45" s="534">
        <f ca="1">IF(M45&gt;0,N45*100/M45,0)</f>
        <v>86.777071823204423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IFERROR(__xludf.DUMMYFUNCTION("IMPORTRANGE(""https://docs.google.com/spreadsheets/d/1Yj_ptqi66GCucihVvJfMjLAmec39IyEx_6qawtMGysU/edit?usp=sharing"",""สบก!M44"")"),724100)</f>
        <v>724100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IFERROR(__xludf.DUMMYFUNCTION("IMPORTRANGE(""https://docs.google.com/spreadsheets/d/1Yj_ptqi66GCucihVvJfMjLAmec39IyEx_6qawtMGysU/edit?usp=sharing"",""สบก!N44"")"),0)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IFERROR(__xludf.DUMMYFUNCTION("IMPORTRANGE(""https://docs.google.com/spreadsheets/d/1Yj_ptqi66GCucihVvJfMjLAmec39IyEx_6qawtMGysU/edit?usp=sharing"",""สบก!O44"")"),853500)</f>
        <v>853500</v>
      </c>
      <c r="M49" s="536">
        <f ca="1">L49</f>
        <v>853500</v>
      </c>
      <c r="N49" s="533">
        <f ca="1">IFERROR(__xludf.DUMMYFUNCTION("IMPORTRANGE(""https://docs.google.com/spreadsheets/d/1Yj_ptqi66GCucihVvJfMjLAmec39IyEx_6qawtMGysU/edit?usp=sharing"",""สบก!S44"")"),853500)</f>
        <v>853500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447471</v>
      </c>
      <c r="N53" s="121">
        <f t="shared" ca="1" si="39"/>
        <v>388499</v>
      </c>
      <c r="O53" s="120">
        <f t="shared" ref="O53:O55" ca="1" si="40">IF(L53&gt;0,N53*100/L53,0)</f>
        <v>49.654780163599185</v>
      </c>
      <c r="P53" s="120">
        <f t="shared" ref="P53:P55" ca="1" si="41">IF(M53&gt;0,N53*100/M53,0)</f>
        <v>86.821045386181453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447471</v>
      </c>
      <c r="N55" s="121">
        <f t="shared" ca="1" si="43"/>
        <v>388499</v>
      </c>
      <c r="O55" s="120">
        <f t="shared" ca="1" si="40"/>
        <v>49.654780163599185</v>
      </c>
      <c r="P55" s="120">
        <f t="shared" ca="1" si="41"/>
        <v>86.821045386181453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533">
        <f ca="1">IFERROR(__xludf.DUMMYFUNCTION("IMPORTRANGE(""https://docs.google.com/spreadsheets/d/1Yj_ptqi66GCucihVvJfMjLAmec39IyEx_6qawtMGysU/edit?usp=sharing"",""สบก!Z44"")"),447471)</f>
        <v>447471</v>
      </c>
      <c r="N57" s="533">
        <f ca="1">IFERROR(__xludf.DUMMYFUNCTION("IMPORTRANGE(""https://docs.google.com/spreadsheets/d/1Yj_ptqi66GCucihVvJfMjLAmec39IyEx_6qawtMGysU/edit?usp=sharing"",""สบก!AA44"")"),388499)</f>
        <v>388499</v>
      </c>
      <c r="O57" s="534">
        <f ca="1">IF(L57&gt;0,N57*100/L57,0)</f>
        <v>49.654780163599185</v>
      </c>
      <c r="P57" s="534">
        <f ca="1">IF(M57&gt;0,N57*100/M57,0)</f>
        <v>86.821045386181453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IFERROR(__xludf.DUMMYFUNCTION("IMPORTRANGE(""https://docs.google.com/spreadsheets/d/1Yj_ptqi66GCucihVvJfMjLAmec39IyEx_6qawtMGysU/edit?usp=sharing"",""สบก!V44"")"),782400)</f>
        <v>782400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IFERROR(__xludf.DUMMYFUNCTION("IMPORTRANGE(""https://docs.google.com/spreadsheets/d/1Yj_ptqi66GCucihVvJfMjLAmec39IyEx_6qawtMGysU/edit?usp=sharing"",""สบก!W44"")"),0)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IFERROR(__xludf.DUMMYFUNCTION("IMPORTRANGE(""https://docs.google.com/spreadsheets/d/1Yj_ptqi66GCucihVvJfMjLAmec39IyEx_6qawtMGysU/edit?usp=sharing"",""สบก!X44"")"),0)</f>
        <v>0</v>
      </c>
      <c r="M61" s="536"/>
      <c r="N61" s="533">
        <f ca="1">IFERROR(__xludf.DUMMYFUNCTION("IMPORTRANGE(""https://docs.google.com/spreadsheets/d/1Yj_ptqi66GCucihVvJfMjLAmec39IyEx_6qawtMGysU/edit?usp=sharing"",""สบก!AB44"")"),0)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413220</v>
      </c>
      <c r="N66" s="152">
        <f t="shared" ca="1" si="45"/>
        <v>296736</v>
      </c>
      <c r="O66" s="151">
        <f t="shared" ref="O66:O68" ca="1" si="46">IF(L66&gt;0,N66*100/L66,0)</f>
        <v>39.40193865356526</v>
      </c>
      <c r="P66" s="151">
        <f t="shared" ref="P66:P68" ca="1" si="47">IF(M66&gt;0,N66*100/M66,0)</f>
        <v>71.810657760998978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413220</v>
      </c>
      <c r="N68" s="157">
        <f t="shared" ca="1" si="49"/>
        <v>296736</v>
      </c>
      <c r="O68" s="156">
        <f t="shared" ca="1" si="46"/>
        <v>39.40193865356526</v>
      </c>
      <c r="P68" s="156">
        <f t="shared" ca="1" si="47"/>
        <v>71.810657760998978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753100</v>
      </c>
      <c r="M70" s="537">
        <f ca="1">IFERROR(__xludf.DUMMYFUNCTION("IMPORTRANGE(""https://docs.google.com/spreadsheets/d/1Yj_ptqi66GCucihVvJfMjLAmec39IyEx_6qawtMGysU/edit?usp=sharing"",""สบก!AI44"")"),413220)</f>
        <v>413220</v>
      </c>
      <c r="N70" s="538">
        <f ca="1">IFERROR(__xludf.DUMMYFUNCTION("IMPORTRANGE(""https://docs.google.com/spreadsheets/d/1Yj_ptqi66GCucihVvJfMjLAmec39IyEx_6qawtMGysU/edit?usp=sharing"",""สบก!AJ44"")"),296736)</f>
        <v>296736</v>
      </c>
      <c r="O70" s="170">
        <f ca="1">IF(L70&gt;0,N70*100/L70,0)</f>
        <v>39.40193865356526</v>
      </c>
      <c r="P70" s="170">
        <f ca="1">IF(M70&gt;0,N70*100/M70,0)</f>
        <v>71.810657760998978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IFERROR(__xludf.DUMMYFUNCTION("IMPORTRANGE(""https://docs.google.com/spreadsheets/d/1Yj_ptqi66GCucihVvJfMjLAmec39IyEx_6qawtMGysU/edit?usp=sharing"",""สบก!AE44"")"),189500)</f>
        <v>189500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IFERROR(__xludf.DUMMYFUNCTION("IMPORTRANGE(""https://docs.google.com/spreadsheets/d/1Yj_ptqi66GCucihVvJfMjLAmec39IyEx_6qawtMGysU/edit?usp=sharing"",""สบก!AF44"")"),563600)</f>
        <v>563600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IFERROR(__xludf.DUMMYFUNCTION("IMPORTRANGE(""https://docs.google.com/spreadsheets/d/1Yj_ptqi66GCucihVvJfMjLAmec39IyEx_6qawtMGysU/edit?usp=sharing"",""สบก!AG44"")"),0)</f>
        <v>0</v>
      </c>
      <c r="M74" s="536"/>
      <c r="N74" s="533">
        <f ca="1">IFERROR(__xludf.DUMMYFUNCTION("IMPORTRANGE(""https://docs.google.com/spreadsheets/d/1Yj_ptqi66GCucihVvJfMjLAmec39IyEx_6qawtMGysU/edit?usp=sharing"",""สบก!AK44"")"),0)</f>
        <v>0</v>
      </c>
      <c r="O74" s="536">
        <f ca="1">IF(L74&gt;0,N74*100/L74,0)</f>
        <v>0</v>
      </c>
      <c r="P74" s="536"/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IFERROR(__xludf.DUMMYFUNCTION("IMPORTRANGE(""https://docs.google.com/spreadsheets/d/1XL5vhW3sbDhbH9Cz0tuDiY8C3ctxq1tqvaCgkFb8cCA/edit?usp=sharing"",""บุรีรัมย์!J16"")"),0)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IFERROR(__xludf.DUMMYFUNCTION("IMPORTRANGE(""https://docs.google.com/spreadsheets/d/1XL5vhW3sbDhbH9Cz0tuDiY8C3ctxq1tqvaCgkFb8cCA/edit?usp=sharing"",""บุรีรัมย์!J17"")"),1)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IFERROR(__xludf.DUMMYFUNCTION("IMPORTRANGE(""https://docs.google.com/spreadsheets/d/1XL5vhW3sbDhbH9Cz0tuDiY8C3ctxq1tqvaCgkFb8cCA/edit?usp=sharing"",""บุรีรัมย์!J18"")"),1)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IFERROR(__xludf.DUMMYFUNCTION("IMPORTRANGE(""https://docs.google.com/spreadsheets/d/1XL5vhW3sbDhbH9Cz0tuDiY8C3ctxq1tqvaCgkFb8cCA/edit?usp=sharing"",""บุรีรัมย์!J19"")"),1)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IFERROR(__xludf.DUMMYFUNCTION("IMPORTRANGE(""https://docs.google.com/spreadsheets/d/1XL5vhW3sbDhbH9Cz0tuDiY8C3ctxq1tqvaCgkFb8cCA/edit?usp=sharing"",""บุรีรัมย์!I20"")"),1)</f>
        <v>1</v>
      </c>
      <c r="J80" s="202">
        <f ca="1">IFERROR(__xludf.DUMMYFUNCTION("IMPORTRANGE(""https://docs.google.com/spreadsheets/d/1XL5vhW3sbDhbH9Cz0tuDiY8C3ctxq1tqvaCgkFb8cCA/edit?usp=sharing"",""บุรีรัมย์!J20"")"),1)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IFERROR(__xludf.DUMMYFUNCTION("IMPORTRANGE(""https://docs.google.com/spreadsheets/d/1XL5vhW3sbDhbH9Cz0tuDiY8C3ctxq1tqvaCgkFb8cCA/edit?usp=sharing"",""บุรีรัมย์!I21"")"),63)</f>
        <v>63</v>
      </c>
      <c r="J81" s="202">
        <f ca="1">IFERROR(__xludf.DUMMYFUNCTION("IMPORTRANGE(""https://docs.google.com/spreadsheets/d/1XL5vhW3sbDhbH9Cz0tuDiY8C3ctxq1tqvaCgkFb8cCA/edit?usp=sharing"",""บุรีรัมย์!J21"")"),63)</f>
        <v>63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IFERROR(__xludf.DUMMYFUNCTION("IMPORTRANGE(""https://docs.google.com/spreadsheets/d/1XL5vhW3sbDhbH9Cz0tuDiY8C3ctxq1tqvaCgkFb8cCA/edit?usp=sharing"",""บุรีรัมย์!I22"")"),1)</f>
        <v>1</v>
      </c>
      <c r="J82" s="205">
        <f ca="1">IFERROR(__xludf.DUMMYFUNCTION("IMPORTRANGE(""https://docs.google.com/spreadsheets/d/1XL5vhW3sbDhbH9Cz0tuDiY8C3ctxq1tqvaCgkFb8cCA/edit?usp=sharing"",""บุรีรัมย์!J22"")"),1)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IFERROR(__xludf.DUMMYFUNCTION("IMPORTRANGE(""https://docs.google.com/spreadsheets/d/1XL5vhW3sbDhbH9Cz0tuDiY8C3ctxq1tqvaCgkFb8cCA/edit?usp=sharing"",""บุรีรัมย์!I23"")"),63)</f>
        <v>63</v>
      </c>
      <c r="J83" s="205">
        <f ca="1">IFERROR(__xludf.DUMMYFUNCTION("IMPORTRANGE(""https://docs.google.com/spreadsheets/d/1XL5vhW3sbDhbH9Cz0tuDiY8C3ctxq1tqvaCgkFb8cCA/edit?usp=sharing"",""บุรีรัมย์!J23"")"),63)</f>
        <v>63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IFERROR(__xludf.DUMMYFUNCTION("IMPORTRANGE(""https://docs.google.com/spreadsheets/d/1XL5vhW3sbDhbH9Cz0tuDiY8C3ctxq1tqvaCgkFb8cCA/edit?usp=sharing"",""บุรีรัมย์!I24"")"),0)</f>
        <v>0</v>
      </c>
      <c r="J84" s="190">
        <f ca="1">IFERROR(__xludf.DUMMYFUNCTION("IMPORTRANGE(""https://docs.google.com/spreadsheets/d/1XL5vhW3sbDhbH9Cz0tuDiY8C3ctxq1tqvaCgkFb8cCA/edit?usp=sharing"",""บุรีรัมย์!J24"")"),0)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IFERROR(__xludf.DUMMYFUNCTION("IMPORTRANGE(""https://docs.google.com/spreadsheets/d/1XL5vhW3sbDhbH9Cz0tuDiY8C3ctxq1tqvaCgkFb8cCA/edit?usp=sharing"",""บุรีรัมย์!I25"")"),0)</f>
        <v>0</v>
      </c>
      <c r="J85" s="190">
        <f ca="1">IFERROR(__xludf.DUMMYFUNCTION("IMPORTRANGE(""https://docs.google.com/spreadsheets/d/1XL5vhW3sbDhbH9Cz0tuDiY8C3ctxq1tqvaCgkFb8cCA/edit?usp=sharing"",""บุรีรัมย์!J25"")"),0)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IFERROR(__xludf.DUMMYFUNCTION("IMPORTRANGE(""https://docs.google.com/spreadsheets/d/1XL5vhW3sbDhbH9Cz0tuDiY8C3ctxq1tqvaCgkFb8cCA/edit?usp=sharing"",""บุรีรัมย์!I26"")"),0)</f>
        <v>0</v>
      </c>
      <c r="J86" s="205">
        <f ca="1">IFERROR(__xludf.DUMMYFUNCTION("IMPORTRANGE(""https://docs.google.com/spreadsheets/d/1XL5vhW3sbDhbH9Cz0tuDiY8C3ctxq1tqvaCgkFb8cCA/edit?usp=sharing"",""บุรีรัมย์!J26"")"),0)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IFERROR(__xludf.DUMMYFUNCTION("IMPORTRANGE(""https://docs.google.com/spreadsheets/d/1XL5vhW3sbDhbH9Cz0tuDiY8C3ctxq1tqvaCgkFb8cCA/edit?usp=sharing"",""บุรีรัมย์!I27"")"),0)</f>
        <v>0</v>
      </c>
      <c r="J87" s="205">
        <f ca="1">IFERROR(__xludf.DUMMYFUNCTION("IMPORTRANGE(""https://docs.google.com/spreadsheets/d/1XL5vhW3sbDhbH9Cz0tuDiY8C3ctxq1tqvaCgkFb8cCA/edit?usp=sharing"",""บุรีรัมย์!J27"")"),0)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IFERROR(__xludf.DUMMYFUNCTION("IMPORTRANGE(""https://docs.google.com/spreadsheets/d/1XL5vhW3sbDhbH9Cz0tuDiY8C3ctxq1tqvaCgkFb8cCA/edit?usp=sharing"",""บุรีรัมย์!I28"")"),63)</f>
        <v>63</v>
      </c>
      <c r="J88" s="205">
        <f ca="1">IFERROR(__xludf.DUMMYFUNCTION("IMPORTRANGE(""https://docs.google.com/spreadsheets/d/1XL5vhW3sbDhbH9Cz0tuDiY8C3ctxq1tqvaCgkFb8cCA/edit?usp=sharing"",""บุรีรัมย์!J28"")"),0)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IFERROR(__xludf.DUMMYFUNCTION("IMPORTRANGE(""https://docs.google.com/spreadsheets/d/1XL5vhW3sbDhbH9Cz0tuDiY8C3ctxq1tqvaCgkFb8cCA/edit?usp=sharing"",""บุรีรัมย์!J29"")"),0)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IFERROR(__xludf.DUMMYFUNCTION("IMPORTRANGE(""https://docs.google.com/spreadsheets/d/1XL5vhW3sbDhbH9Cz0tuDiY8C3ctxq1tqvaCgkFb8cCA/edit?usp=sharing"",""บุรีรัมย์!J30"")"),0)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IFERROR(__xludf.DUMMYFUNCTION("IMPORTRANGE(""https://docs.google.com/spreadsheets/d/1Yj_ptqi66GCucihVvJfMjLAmec39IyEx_6qawtMGysU/edit?usp=sharing"",""สบก!AR44"")"),0)</f>
        <v>0</v>
      </c>
      <c r="N98" s="538">
        <f ca="1">IFERROR(__xludf.DUMMYFUNCTION("IMPORTRANGE(""https://docs.google.com/spreadsheets/d/1Yj_ptqi66GCucihVvJfMjLAmec39IyEx_6qawtMGysU/edit?usp=sharing"",""สบก!AS44"")"),0)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IFERROR(__xludf.DUMMYFUNCTION("IMPORTRANGE(""https://docs.google.com/spreadsheets/d/1Yj_ptqi66GCucihVvJfMjLAmec39IyEx_6qawtMGysU/edit?usp=sharing"",""สบก!AN44"")"),0)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IFERROR(__xludf.DUMMYFUNCTION("IMPORTRANGE(""https://docs.google.com/spreadsheets/d/1Yj_ptqi66GCucihVvJfMjLAmec39IyEx_6qawtMGysU/edit?usp=sharing"",""สบก!AO44"")"),0)</f>
        <v>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IFERROR(__xludf.DUMMYFUNCTION("IMPORTRANGE(""https://docs.google.com/spreadsheets/d/1Yj_ptqi66GCucihVvJfMjLAmec39IyEx_6qawtMGysU/edit?usp=sharing"",""สบก!AP44"")"),0)</f>
        <v>0</v>
      </c>
      <c r="M102" s="536"/>
      <c r="N102" s="533">
        <f ca="1">IFERROR(__xludf.DUMMYFUNCTION("IMPORTRANGE(""https://docs.google.com/spreadsheets/d/1Yj_ptqi66GCucihVvJfMjLAmec39IyEx_6qawtMGysU/edit?usp=sharing"",""สบก!AT44"")"),0)</f>
        <v>0</v>
      </c>
      <c r="O102" s="536">
        <f ca="1">IF(L102&gt;0,N102*100/L102,0)</f>
        <v>0</v>
      </c>
      <c r="P102" s="536"/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IFERROR(__xludf.DUMMYFUNCTION("IMPORTRANGE(""https://docs.google.com/spreadsheets/d/1XL5vhW3sbDhbH9Cz0tuDiY8C3ctxq1tqvaCgkFb8cCA/edit?usp=sharing"",""บุรีรัมย์!I43"")"),0)</f>
        <v>0</v>
      </c>
      <c r="J108" s="205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IFERROR(__xludf.DUMMYFUNCTION("IMPORTRANGE(""https://docs.google.com/spreadsheets/d/1XL5vhW3sbDhbH9Cz0tuDiY8C3ctxq1tqvaCgkFb8cCA/edit?usp=sharing"",""บุรีรัมย์!I44"")"),0)</f>
        <v>0</v>
      </c>
      <c r="J109" s="205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IFERROR(__xludf.DUMMYFUNCTION("IMPORTRANGE(""https://docs.google.com/spreadsheets/d/1XL5vhW3sbDhbH9Cz0tuDiY8C3ctxq1tqvaCgkFb8cCA/edit?usp=sharing"",""บุรีรัมย์!I45"")"),0)</f>
        <v>0</v>
      </c>
      <c r="J110" s="205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IFERROR(__xludf.DUMMYFUNCTION("IMPORTRANGE(""https://docs.google.com/spreadsheets/d/1XL5vhW3sbDhbH9Cz0tuDiY8C3ctxq1tqvaCgkFb8cCA/edit?usp=sharing"",""บุรีรัมย์!I46"")"),0)</f>
        <v>0</v>
      </c>
      <c r="J111" s="205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IFERROR(__xludf.DUMMYFUNCTION("IMPORTRANGE(""https://docs.google.com/spreadsheets/d/1XL5vhW3sbDhbH9Cz0tuDiY8C3ctxq1tqvaCgkFb8cCA/edit?usp=sharing"",""บุรีรัมย์!I47"")"),0)</f>
        <v>0</v>
      </c>
      <c r="J112" s="205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IFERROR(__xludf.DUMMYFUNCTION("IMPORTRANGE(""https://docs.google.com/spreadsheets/d/1XL5vhW3sbDhbH9Cz0tuDiY8C3ctxq1tqvaCgkFb8cCA/edit?usp=sharing"",""บุรีรัมย์!I48"")"),0)</f>
        <v>0</v>
      </c>
      <c r="J113" s="205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42840</v>
      </c>
      <c r="O118" s="151">
        <f t="shared" ref="O118:O120" ca="1" si="59">IF(L118&gt;0,N118*100/L118,0)</f>
        <v>51.965065502183407</v>
      </c>
      <c r="P118" s="151">
        <f t="shared" ref="P118:P120" ca="1" si="60">IF(M118&gt;0,N118*100/M118,0)</f>
        <v>64.479229379891635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42840</v>
      </c>
      <c r="O120" s="156">
        <f t="shared" ca="1" si="59"/>
        <v>51.965065502183407</v>
      </c>
      <c r="P120" s="156">
        <f t="shared" ca="1" si="60"/>
        <v>64.479229379891635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IFERROR(__xludf.DUMMYFUNCTION("IMPORTRANGE(""https://docs.google.com/spreadsheets/d/1Yj_ptqi66GCucihVvJfMjLAmec39IyEx_6qawtMGysU/edit?usp=sharing"",""สบก!BA44"")"),66440)</f>
        <v>66440</v>
      </c>
      <c r="N122" s="538">
        <f ca="1">IFERROR(__xludf.DUMMYFUNCTION("IMPORTRANGE(""https://docs.google.com/spreadsheets/d/1Yj_ptqi66GCucihVvJfMjLAmec39IyEx_6qawtMGysU/edit?usp=sharing"",""สบก!BB44"")"),42840)</f>
        <v>42840</v>
      </c>
      <c r="O122" s="170">
        <f ca="1">IF(L122&gt;0,N122*100/L122,0)</f>
        <v>51.965065502183407</v>
      </c>
      <c r="P122" s="170">
        <f ca="1">IF(M122&gt;0,N122*100/M122,0)</f>
        <v>64.479229379891635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IFERROR(__xludf.DUMMYFUNCTION("IMPORTRANGE(""https://docs.google.com/spreadsheets/d/1Yj_ptqi66GCucihVvJfMjLAmec39IyEx_6qawtMGysU/edit?usp=sharing"",""สบก!AW44"")"),0)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IFERROR(__xludf.DUMMYFUNCTION("IMPORTRANGE(""https://docs.google.com/spreadsheets/d/1Yj_ptqi66GCucihVvJfMjLAmec39IyEx_6qawtMGysU/edit?usp=sharing"",""สบก!AX44"")"),82440)</f>
        <v>82440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IFERROR(__xludf.DUMMYFUNCTION("IMPORTRANGE(""https://docs.google.com/spreadsheets/d/1Yj_ptqi66GCucihVvJfMjLAmec39IyEx_6qawtMGysU/edit?usp=sharing"",""สบก!AY44"")"),0)</f>
        <v>0</v>
      </c>
      <c r="M126" s="536"/>
      <c r="N126" s="533">
        <f ca="1">IFERROR(__xludf.DUMMYFUNCTION("IMPORTRANGE(""https://docs.google.com/spreadsheets/d/1Yj_ptqi66GCucihVvJfMjLAmec39IyEx_6qawtMGysU/edit?usp=sharing"",""สบก!BC44"")"),0)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251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IFERROR(__xludf.DUMMYFUNCTION("IMPORTRANGE(""https://docs.google.com/spreadsheets/d/1XL5vhW3sbDhbH9Cz0tuDiY8C3ctxq1tqvaCgkFb8cCA/edit?usp=sharing"",""บุรีรัมย์!I62"")"),20)</f>
        <v>20</v>
      </c>
      <c r="J132" s="205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IFERROR(__xludf.DUMMYFUNCTION("IMPORTRANGE(""https://docs.google.com/spreadsheets/d/1XL5vhW3sbDhbH9Cz0tuDiY8C3ctxq1tqvaCgkFb8cCA/edit?usp=sharing"",""บุรีรัมย์!I63"")"),20)</f>
        <v>20</v>
      </c>
      <c r="J133" s="205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IFERROR(__xludf.DUMMYFUNCTION("IMPORTRANGE(""https://docs.google.com/spreadsheets/d/1XL5vhW3sbDhbH9Cz0tuDiY8C3ctxq1tqvaCgkFb8cCA/edit?usp=sharing"",""บุรีรัมย์!J64"")"),0)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98500</v>
      </c>
      <c r="M140" s="152">
        <f t="shared" ca="1" si="64"/>
        <v>63750</v>
      </c>
      <c r="N140" s="152">
        <f t="shared" ca="1" si="64"/>
        <v>54710</v>
      </c>
      <c r="O140" s="151">
        <f t="shared" ref="O140:O142" ca="1" si="65">IF(L140&gt;0,N140*100/L140,0)</f>
        <v>55.54314720812183</v>
      </c>
      <c r="P140" s="151">
        <f t="shared" ref="P140:P142" ca="1" si="66">IF(M140&gt;0,N140*100/M140,0)</f>
        <v>85.819607843137248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98500</v>
      </c>
      <c r="M142" s="157">
        <f t="shared" ca="1" si="68"/>
        <v>63750</v>
      </c>
      <c r="N142" s="157">
        <f t="shared" ca="1" si="68"/>
        <v>54710</v>
      </c>
      <c r="O142" s="156">
        <f t="shared" ca="1" si="65"/>
        <v>55.54314720812183</v>
      </c>
      <c r="P142" s="156">
        <f t="shared" ca="1" si="66"/>
        <v>85.819607843137248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98500</v>
      </c>
      <c r="M144" s="537">
        <f ca="1">IFERROR(__xludf.DUMMYFUNCTION("IMPORTRANGE(""https://docs.google.com/spreadsheets/d/1Yj_ptqi66GCucihVvJfMjLAmec39IyEx_6qawtMGysU/edit?usp=sharing"",""สบก!BJ44"")"),63750)</f>
        <v>63750</v>
      </c>
      <c r="N144" s="538">
        <f ca="1">IFERROR(__xludf.DUMMYFUNCTION("IMPORTRANGE(""https://docs.google.com/spreadsheets/d/1Yj_ptqi66GCucihVvJfMjLAmec39IyEx_6qawtMGysU/edit?usp=sharing"",""สบก!BK44"")"),54710)</f>
        <v>54710</v>
      </c>
      <c r="O144" s="170">
        <f ca="1">IF(L144&gt;0,N144*100/L144,0)</f>
        <v>55.54314720812183</v>
      </c>
      <c r="P144" s="170">
        <f ca="1">IF(M144&gt;0,N144*100/M144,0)</f>
        <v>85.819607843137248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IFERROR(__xludf.DUMMYFUNCTION("IMPORTRANGE(""https://docs.google.com/spreadsheets/d/1Yj_ptqi66GCucihVvJfMjLAmec39IyEx_6qawtMGysU/edit?usp=sharing"",""สบก!BF44"")"),0)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IFERROR(__xludf.DUMMYFUNCTION("IMPORTRANGE(""https://docs.google.com/spreadsheets/d/1Yj_ptqi66GCucihVvJfMjLAmec39IyEx_6qawtMGysU/edit?usp=sharing"",""สบก!BG44"")"),98500)</f>
        <v>98500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IFERROR(__xludf.DUMMYFUNCTION("IMPORTRANGE(""https://docs.google.com/spreadsheets/d/1Yj_ptqi66GCucihVvJfMjLAmec39IyEx_6qawtMGysU/edit?usp=sharing"",""สบก!BH44"")"),0)</f>
        <v>0</v>
      </c>
      <c r="M148" s="536"/>
      <c r="N148" s="533">
        <f ca="1">IFERROR(__xludf.DUMMYFUNCTION("IMPORTRANGE(""https://docs.google.com/spreadsheets/d/1Yj_ptqi66GCucihVvJfMjLAmec39IyEx_6qawtMGysU/edit?usp=sharing"",""สบก!BL44"")"),0)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IFERROR(__xludf.DUMMYFUNCTION("IMPORTRANGE(""https://docs.google.com/spreadsheets/d/1XL5vhW3sbDhbH9Cz0tuDiY8C3ctxq1tqvaCgkFb8cCA/edit?usp=sharing"",""บุรีรัมย์!J79"")"),0)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IFERROR(__xludf.DUMMYFUNCTION("IMPORTRANGE(""https://docs.google.com/spreadsheets/d/1XL5vhW3sbDhbH9Cz0tuDiY8C3ctxq1tqvaCgkFb8cCA/edit?usp=sharing"",""บุรีรัมย์!J80"")"),1)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IFERROR(__xludf.DUMMYFUNCTION("IMPORTRANGE(""https://docs.google.com/spreadsheets/d/1XL5vhW3sbDhbH9Cz0tuDiY8C3ctxq1tqvaCgkFb8cCA/edit?usp=sharing"",""บุรีรัมย์!J81"")"),1)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IFERROR(__xludf.DUMMYFUNCTION("IMPORTRANGE(""https://docs.google.com/spreadsheets/d/1XL5vhW3sbDhbH9Cz0tuDiY8C3ctxq1tqvaCgkFb8cCA/edit?usp=sharing"",""บุรีรัมย์!J82"")"),1)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IFERROR(__xludf.DUMMYFUNCTION("IMPORTRANGE(""https://docs.google.com/spreadsheets/d/1XL5vhW3sbDhbH9Cz0tuDiY8C3ctxq1tqvaCgkFb8cCA/edit?usp=sharing"",""บุรีรัมย์!I83"")"),4)</f>
        <v>4</v>
      </c>
      <c r="J158" s="190">
        <f ca="1">IFERROR(__xludf.DUMMYFUNCTION("IMPORTRANGE(""https://docs.google.com/spreadsheets/d/1XL5vhW3sbDhbH9Cz0tuDiY8C3ctxq1tqvaCgkFb8cCA/edit?usp=sharing"",""บุรีรัมย์!J83"")"),1)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IFERROR(__xludf.DUMMYFUNCTION("IMPORTRANGE(""https://docs.google.com/spreadsheets/d/1XL5vhW3sbDhbH9Cz0tuDiY8C3ctxq1tqvaCgkFb8cCA/edit?usp=sharing"",""บุรีรัมย์!J84"")"),61)</f>
        <v>61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IFERROR(__xludf.DUMMYFUNCTION("IMPORTRANGE(""https://docs.google.com/spreadsheets/d/1XL5vhW3sbDhbH9Cz0tuDiY8C3ctxq1tqvaCgkFb8cCA/edit?usp=sharing"",""บุรีรัมย์!J85"")"),61)</f>
        <v>61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IFERROR(__xludf.DUMMYFUNCTION("IMPORTRANGE(""https://docs.google.com/spreadsheets/d/1XL5vhW3sbDhbH9Cz0tuDiY8C3ctxq1tqvaCgkFb8cCA/edit?usp=sharing"",""บุรีรัมย์!J86"")"),0)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IFERROR(__xludf.DUMMYFUNCTION("IMPORTRANGE(""https://docs.google.com/spreadsheets/d/1XL5vhW3sbDhbH9Cz0tuDiY8C3ctxq1tqvaCgkFb8cCA/edit?usp=sharing"",""บุรีรัมย์!J87"")"),0)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IFERROR(__xludf.DUMMYFUNCTION("IMPORTRANGE(""https://docs.google.com/spreadsheets/d/1XL5vhW3sbDhbH9Cz0tuDiY8C3ctxq1tqvaCgkFb8cCA/edit?usp=sharing"",""บุรีรัมย์!J88"")"),0)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IFERROR(__xludf.DUMMYFUNCTION("IMPORTRANGE(""https://docs.google.com/spreadsheets/d/1XL5vhW3sbDhbH9Cz0tuDiY8C3ctxq1tqvaCgkFb8cCA/edit?usp=sharing"",""บุรีรัมย์!I89"")"),3)</f>
        <v>3</v>
      </c>
      <c r="J164" s="284">
        <f ca="1">IFERROR(__xludf.DUMMYFUNCTION("IMPORTRANGE(""https://docs.google.com/spreadsheets/d/1XL5vhW3sbDhbH9Cz0tuDiY8C3ctxq1tqvaCgkFb8cCA/edit?usp=sharing"",""บุรีรัมย์!J89"")"),3)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IFERROR(__xludf.DUMMYFUNCTION("IMPORTRANGE(""https://docs.google.com/spreadsheets/d/1XL5vhW3sbDhbH9Cz0tuDiY8C3ctxq1tqvaCgkFb8cCA/edit?usp=sharing"",""บุรีรัมย์!J94"")"),0)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IFERROR(__xludf.DUMMYFUNCTION("IMPORTRANGE(""https://docs.google.com/spreadsheets/d/1XL5vhW3sbDhbH9Cz0tuDiY8C3ctxq1tqvaCgkFb8cCA/edit?usp=sharing"",""บุรีรัมย์!J95"")"),1)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IFERROR(__xludf.DUMMYFUNCTION("IMPORTRANGE(""https://docs.google.com/spreadsheets/d/1XL5vhW3sbDhbH9Cz0tuDiY8C3ctxq1tqvaCgkFb8cCA/edit?usp=sharing"",""บุรีรัมย์!J96"")"),1)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IFERROR(__xludf.DUMMYFUNCTION("IMPORTRANGE(""https://docs.google.com/spreadsheets/d/1XL5vhW3sbDhbH9Cz0tuDiY8C3ctxq1tqvaCgkFb8cCA/edit?usp=sharing"",""บุรีรัมย์!J97"")"),1)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IFERROR(__xludf.DUMMYFUNCTION("IMPORTRANGE(""https://docs.google.com/spreadsheets/d/1XL5vhW3sbDhbH9Cz0tuDiY8C3ctxq1tqvaCgkFb8cCA/edit?usp=sharing"",""บุรีรัมย์!I98"")"),3)</f>
        <v>3</v>
      </c>
      <c r="J173" s="190">
        <f ca="1">IFERROR(__xludf.DUMMYFUNCTION("IMPORTRANGE(""https://docs.google.com/spreadsheets/d/1XL5vhW3sbDhbH9Cz0tuDiY8C3ctxq1tqvaCgkFb8cCA/edit?usp=sharing"",""บุรีรัมย์!J98"")"),3)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IFERROR(__xludf.DUMMYFUNCTION("IMPORTRANGE(""https://docs.google.com/spreadsheets/d/1XL5vhW3sbDhbH9Cz0tuDiY8C3ctxq1tqvaCgkFb8cCA/edit?usp=sharing"",""บุรีรัมย์!J99"")"),0)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IFERROR(__xludf.DUMMYFUNCTION("IMPORTRANGE(""https://docs.google.com/spreadsheets/d/1XL5vhW3sbDhbH9Cz0tuDiY8C3ctxq1tqvaCgkFb8cCA/edit?usp=sharing"",""บุรีรัมย์!J100"")"),0)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IFERROR(__xludf.DUMMYFUNCTION("IMPORTRANGE(""https://docs.google.com/spreadsheets/d/1XL5vhW3sbDhbH9Cz0tuDiY8C3ctxq1tqvaCgkFb8cCA/edit?usp=sharing"",""บุรีรัมย์!I101"")"),1)</f>
        <v>1</v>
      </c>
      <c r="J176" s="284">
        <f ca="1">IFERROR(__xludf.DUMMYFUNCTION("IMPORTRANGE(""https://docs.google.com/spreadsheets/d/1XL5vhW3sbDhbH9Cz0tuDiY8C3ctxq1tqvaCgkFb8cCA/edit?usp=sharing"",""บุรีรัมย์!J101"")"),1)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IFERROR(__xludf.DUMMYFUNCTION("IMPORTRANGE(""https://docs.google.com/spreadsheets/d/1XL5vhW3sbDhbH9Cz0tuDiY8C3ctxq1tqvaCgkFb8cCA/edit?usp=sharing"",""บุรีรัมย์!J107"")"),1)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IFERROR(__xludf.DUMMYFUNCTION("IMPORTRANGE(""https://docs.google.com/spreadsheets/d/1XL5vhW3sbDhbH9Cz0tuDiY8C3ctxq1tqvaCgkFb8cCA/edit?usp=sharing"",""บุรีรัมย์!I110"")"),1)</f>
        <v>1</v>
      </c>
      <c r="J185" s="205">
        <f ca="1">IFERROR(__xludf.DUMMYFUNCTION("IMPORTRANGE(""https://docs.google.com/spreadsheets/d/1XL5vhW3sbDhbH9Cz0tuDiY8C3ctxq1tqvaCgkFb8cCA/edit?usp=sharing"",""บุรีรัมย์!J110"")"),0)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IFERROR(__xludf.DUMMYFUNCTION("IMPORTRANGE(""https://docs.google.com/spreadsheets/d/1XL5vhW3sbDhbH9Cz0tuDiY8C3ctxq1tqvaCgkFb8cCA/edit?usp=sharing"",""บุรีรัมย์!I111"")"),1)</f>
        <v>1</v>
      </c>
      <c r="J186" s="205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IFERROR(__xludf.DUMMYFUNCTION("IMPORTRANGE(""https://docs.google.com/spreadsheets/d/1XL5vhW3sbDhbH9Cz0tuDiY8C3ctxq1tqvaCgkFb8cCA/edit?usp=sharing"",""บุรีรัมย์!J112"")"),0)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IFERROR(__xludf.DUMMYFUNCTION("IMPORTRANGE(""https://docs.google.com/spreadsheets/d/1XL5vhW3sbDhbH9Cz0tuDiY8C3ctxq1tqvaCgkFb8cCA/edit?usp=sharing"",""บุรีรัมย์!J113"")"),0)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IFERROR(__xludf.DUMMYFUNCTION("IMPORTRANGE(""https://docs.google.com/spreadsheets/d/1XL5vhW3sbDhbH9Cz0tuDiY8C3ctxq1tqvaCgkFb8cCA/edit?usp=sharing"",""บุรีรัมย์!I114"")"),100000)</f>
        <v>100000</v>
      </c>
      <c r="J189" s="284">
        <f ca="1">IFERROR(__xludf.DUMMYFUNCTION("IMPORTRANGE(""https://docs.google.com/spreadsheets/d/1XL5vhW3sbDhbH9Cz0tuDiY8C3ctxq1tqvaCgkFb8cCA/edit?usp=sharing"",""บุรีรัมย์!J114"")"),0)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IFERROR(__xludf.DUMMYFUNCTION("IMPORTRANGE(""https://docs.google.com/spreadsheets/d/1XL5vhW3sbDhbH9Cz0tuDiY8C3ctxq1tqvaCgkFb8cCA/edit?usp=sharing"",""บุรีรัมย์!J119"")"),1)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IFERROR(__xludf.DUMMYFUNCTION("IMPORTRANGE(""https://docs.google.com/spreadsheets/d/1XL5vhW3sbDhbH9Cz0tuDiY8C3ctxq1tqvaCgkFb8cCA/edit?usp=sharing"",""บุรีรัมย์!J120"")"),0)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IFERROR(__xludf.DUMMYFUNCTION("IMPORTRANGE(""https://docs.google.com/spreadsheets/d/1XL5vhW3sbDhbH9Cz0tuDiY8C3ctxq1tqvaCgkFb8cCA/edit?usp=sharing"",""บุรีรัมย์!J121"")"),0)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IFERROR(__xludf.DUMMYFUNCTION("IMPORTRANGE(""https://docs.google.com/spreadsheets/d/1XL5vhW3sbDhbH9Cz0tuDiY8C3ctxq1tqvaCgkFb8cCA/edit?usp=sharing"",""บุรีรัมย์!J122"")"),0)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IFERROR(__xludf.DUMMYFUNCTION("IMPORTRANGE(""https://docs.google.com/spreadsheets/d/1XL5vhW3sbDhbH9Cz0tuDiY8C3ctxq1tqvaCgkFb8cCA/edit?usp=sharing"",""บุรีรัมย์!I124"")"),100000)</f>
        <v>100000</v>
      </c>
      <c r="J199" s="190">
        <f ca="1">IFERROR(__xludf.DUMMYFUNCTION("IMPORTRANGE(""https://docs.google.com/spreadsheets/d/1XL5vhW3sbDhbH9Cz0tuDiY8C3ctxq1tqvaCgkFb8cCA/edit?usp=sharing"",""บุรีรัมย์!J124"")"),0)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IFERROR(__xludf.DUMMYFUNCTION("IMPORTRANGE(""https://docs.google.com/spreadsheets/d/1XL5vhW3sbDhbH9Cz0tuDiY8C3ctxq1tqvaCgkFb8cCA/edit?usp=sharing"",""บุรีรัมย์!I125"")"),100000)</f>
        <v>100000</v>
      </c>
      <c r="J200" s="190">
        <f ca="1">IFERROR(__xludf.DUMMYFUNCTION("IMPORTRANGE(""https://docs.google.com/spreadsheets/d/1XL5vhW3sbDhbH9Cz0tuDiY8C3ctxq1tqvaCgkFb8cCA/edit?usp=sharing"",""บุรีรัมย์!J125"")"),0)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IFERROR(__xludf.DUMMYFUNCTION("IMPORTRANGE(""https://docs.google.com/spreadsheets/d/1XL5vhW3sbDhbH9Cz0tuDiY8C3ctxq1tqvaCgkFb8cCA/edit?usp=sharing"",""บุรีรัมย์!I126"")"),0)</f>
        <v>0</v>
      </c>
      <c r="J201" s="190">
        <f ca="1">IFERROR(__xludf.DUMMYFUNCTION("IMPORTRANGE(""https://docs.google.com/spreadsheets/d/1XL5vhW3sbDhbH9Cz0tuDiY8C3ctxq1tqvaCgkFb8cCA/edit?usp=sharing"",""บุรีรัมย์!J126"")"),0)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IFERROR(__xludf.DUMMYFUNCTION("IMPORTRANGE(""https://docs.google.com/spreadsheets/d/1XL5vhW3sbDhbH9Cz0tuDiY8C3ctxq1tqvaCgkFb8cCA/edit?usp=sharing"",""บุรีรัมย์!J127"")"),0)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IFERROR(__xludf.DUMMYFUNCTION("IMPORTRANGE(""https://docs.google.com/spreadsheets/d/1XL5vhW3sbDhbH9Cz0tuDiY8C3ctxq1tqvaCgkFb8cCA/edit?usp=sharing"",""บุรีรัมย์!J128"")"),0)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IFERROR(__xludf.DUMMYFUNCTION("IMPORTRANGE(""https://docs.google.com/spreadsheets/d/1XL5vhW3sbDhbH9Cz0tuDiY8C3ctxq1tqvaCgkFb8cCA/edit?usp=sharing"",""บุรีรัมย์!I129"")"),0)</f>
        <v>0</v>
      </c>
      <c r="J204" s="284">
        <f ca="1">IFERROR(__xludf.DUMMYFUNCTION("IMPORTRANGE(""https://docs.google.com/spreadsheets/d/1XL5vhW3sbDhbH9Cz0tuDiY8C3ctxq1tqvaCgkFb8cCA/edit?usp=sharing"",""บุรีรัมย์!J129"")"),0)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IFERROR(__xludf.DUMMYFUNCTION("IMPORTRANGE(""https://docs.google.com/spreadsheets/d/1XL5vhW3sbDhbH9Cz0tuDiY8C3ctxq1tqvaCgkFb8cCA/edit?usp=sharing"",""บุรีรัมย์!I138"")"),0)</f>
        <v>0</v>
      </c>
      <c r="J213" s="205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IFERROR(__xludf.DUMMYFUNCTION("IMPORTRANGE(""https://docs.google.com/spreadsheets/d/1XL5vhW3sbDhbH9Cz0tuDiY8C3ctxq1tqvaCgkFb8cCA/edit?usp=sharing"",""บุรีรัมย์!I140"")"),0)</f>
        <v>0</v>
      </c>
      <c r="J215" s="205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IFERROR(__xludf.DUMMYFUNCTION("IMPORTRANGE(""https://docs.google.com/spreadsheets/d/1XL5vhW3sbDhbH9Cz0tuDiY8C3ctxq1tqvaCgkFb8cCA/edit?usp=sharing"",""บุรีรัมย์!I141"")"),0)</f>
        <v>0</v>
      </c>
      <c r="J216" s="205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19732</v>
      </c>
      <c r="O220" s="151">
        <f t="shared" ref="O220:O222" ca="1" si="73">IF(L220&gt;0,N220*100/L220,0)</f>
        <v>93.40591715976332</v>
      </c>
      <c r="P220" s="151">
        <f t="shared" ref="P220:P222" ca="1" si="74">IF(M220&gt;0,N220*100/M220,0)</f>
        <v>93.40591715976332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19732</v>
      </c>
      <c r="O222" s="156">
        <f t="shared" ca="1" si="73"/>
        <v>93.40591715976332</v>
      </c>
      <c r="P222" s="156">
        <f t="shared" ca="1" si="74"/>
        <v>93.40591715976332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IFERROR(__xludf.DUMMYFUNCTION("IMPORTRANGE(""https://docs.google.com/spreadsheets/d/1Yj_ptqi66GCucihVvJfMjLAmec39IyEx_6qawtMGysU/edit?usp=sharing"",""สบก!BS44"")"),21125)</f>
        <v>21125</v>
      </c>
      <c r="N224" s="538">
        <f ca="1">IFERROR(__xludf.DUMMYFUNCTION("IMPORTRANGE(""https://docs.google.com/spreadsheets/d/1Yj_ptqi66GCucihVvJfMjLAmec39IyEx_6qawtMGysU/edit?usp=sharing"",""สบก!BT44"")"),19732)</f>
        <v>19732</v>
      </c>
      <c r="O224" s="170">
        <f ca="1">IF(L224&gt;0,N224*100/L224,0)</f>
        <v>93.40591715976332</v>
      </c>
      <c r="P224" s="170">
        <f ca="1">IF(M224&gt;0,N224*100/M224,0)</f>
        <v>93.40591715976332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IFERROR(__xludf.DUMMYFUNCTION("IMPORTRANGE(""https://docs.google.com/spreadsheets/d/1Yj_ptqi66GCucihVvJfMjLAmec39IyEx_6qawtMGysU/edit?usp=sharing"",""สบก!BO44"")"),0)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IFERROR(__xludf.DUMMYFUNCTION("IMPORTRANGE(""https://docs.google.com/spreadsheets/d/1Yj_ptqi66GCucihVvJfMjLAmec39IyEx_6qawtMGysU/edit?usp=sharing"",""สบก!BP44"")"),21125)</f>
        <v>21125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IFERROR(__xludf.DUMMYFUNCTION("IMPORTRANGE(""https://docs.google.com/spreadsheets/d/1Yj_ptqi66GCucihVvJfMjLAmec39IyEx_6qawtMGysU/edit?usp=sharing"",""สบก!BQ44"")"),0)</f>
        <v>0</v>
      </c>
      <c r="M228" s="536"/>
      <c r="N228" s="533">
        <f ca="1">IFERROR(__xludf.DUMMYFUNCTION("IMPORTRANGE(""https://docs.google.com/spreadsheets/d/1Yj_ptqi66GCucihVvJfMjLAmec39IyEx_6qawtMGysU/edit?usp=sharing"",""สบก!BU44"")"),0)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IFERROR(__xludf.DUMMYFUNCTION("IMPORTRANGE(""https://docs.google.com/spreadsheets/d/1XL5vhW3sbDhbH9Cz0tuDiY8C3ctxq1tqvaCgkFb8cCA/edit?usp=sharing"",""บุรีรัมย์!J151"")"),0)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IFERROR(__xludf.DUMMYFUNCTION("IMPORTRANGE(""https://docs.google.com/spreadsheets/d/1XL5vhW3sbDhbH9Cz0tuDiY8C3ctxq1tqvaCgkFb8cCA/edit?usp=sharing"",""บุรีรัมย์!J152"")"),1)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IFERROR(__xludf.DUMMYFUNCTION("IMPORTRANGE(""https://docs.google.com/spreadsheets/d/1XL5vhW3sbDhbH9Cz0tuDiY8C3ctxq1tqvaCgkFb8cCA/edit?usp=sharing"",""บุรีรัมย์!J153"")"),1)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IFERROR(__xludf.DUMMYFUNCTION("IMPORTRANGE(""https://docs.google.com/spreadsheets/d/1XL5vhW3sbDhbH9Cz0tuDiY8C3ctxq1tqvaCgkFb8cCA/edit?usp=sharing"",""บุรีรัมย์!J154"")"),1)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IFERROR(__xludf.DUMMYFUNCTION("IMPORTRANGE(""https://docs.google.com/spreadsheets/d/1XL5vhW3sbDhbH9Cz0tuDiY8C3ctxq1tqvaCgkFb8cCA/edit?usp=sharing"",""บุรีรัมย์!I155"")"),15)</f>
        <v>15</v>
      </c>
      <c r="J235" s="190">
        <f ca="1">IFERROR(__xludf.DUMMYFUNCTION("IMPORTRANGE(""https://docs.google.com/spreadsheets/d/1XL5vhW3sbDhbH9Cz0tuDiY8C3ctxq1tqvaCgkFb8cCA/edit?usp=sharing"",""บุรีรัมย์!J155"")"),15)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IFERROR(__xludf.DUMMYFUNCTION("IMPORTRANGE(""https://docs.google.com/spreadsheets/d/1XL5vhW3sbDhbH9Cz0tuDiY8C3ctxq1tqvaCgkFb8cCA/edit?usp=sharing"",""บุรีรัมย์!J156"")"),0)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IFERROR(__xludf.DUMMYFUNCTION("IMPORTRANGE(""https://docs.google.com/spreadsheets/d/1XL5vhW3sbDhbH9Cz0tuDiY8C3ctxq1tqvaCgkFb8cCA/edit?usp=sharing"",""บุรีรัมย์!J157"")"),0)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IFERROR(__xludf.DUMMYFUNCTION("IMPORTRANGE(""https://docs.google.com/spreadsheets/d/1XL5vhW3sbDhbH9Cz0tuDiY8C3ctxq1tqvaCgkFb8cCA/edit?usp=sharing"",""บุรีรัมย์!J159"")"),"")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IFERROR(__xludf.DUMMYFUNCTION("IMPORTRANGE(""https://docs.google.com/spreadsheets/d/1XL5vhW3sbDhbH9Cz0tuDiY8C3ctxq1tqvaCgkFb8cCA/edit?usp=sharing"",""บุรีรัมย์!J161"")"),0)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IFERROR(__xludf.DUMMYFUNCTION("IMPORTRANGE(""https://docs.google.com/spreadsheets/d/1XL5vhW3sbDhbH9Cz0tuDiY8C3ctxq1tqvaCgkFb8cCA/edit?usp=sharing"",""บุรีรัมย์!J162"")"),0)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IFERROR(__xludf.DUMMYFUNCTION("IMPORTRANGE(""https://docs.google.com/spreadsheets/d/1XL5vhW3sbDhbH9Cz0tuDiY8C3ctxq1tqvaCgkFb8cCA/edit?usp=sharing"",""บุรีรัมย์!J163"")"),0)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IFERROR(__xludf.DUMMYFUNCTION("IMPORTRANGE(""https://docs.google.com/spreadsheets/d/1XL5vhW3sbDhbH9Cz0tuDiY8C3ctxq1tqvaCgkFb8cCA/edit?usp=sharing"",""บุรีรัมย์!I164"")"),0)</f>
        <v>0</v>
      </c>
      <c r="J244" s="189">
        <f ca="1">IFERROR(__xludf.DUMMYFUNCTION("IMPORTRANGE(""https://docs.google.com/spreadsheets/d/1XL5vhW3sbDhbH9Cz0tuDiY8C3ctxq1tqvaCgkFb8cCA/edit?usp=sharing"",""บุรีรัมย์!J164"")"),0)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IFERROR(__xludf.DUMMYFUNCTION("IMPORTRANGE(""https://docs.google.com/spreadsheets/d/1XL5vhW3sbDhbH9Cz0tuDiY8C3ctxq1tqvaCgkFb8cCA/edit?usp=sharing"",""บุรีรัมย์!J165"")"),0)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IFERROR(__xludf.DUMMYFUNCTION("IMPORTRANGE(""https://docs.google.com/spreadsheets/d/1XL5vhW3sbDhbH9Cz0tuDiY8C3ctxq1tqvaCgkFb8cCA/edit?usp=sharing"",""บุรีรัมย์!I169"")"),25)</f>
        <v>25</v>
      </c>
      <c r="J249" s="316">
        <f ca="1">IFERROR(__xludf.DUMMYFUNCTION("IMPORTRANGE(""https://docs.google.com/spreadsheets/d/1XL5vhW3sbDhbH9Cz0tuDiY8C3ctxq1tqvaCgkFb8cCA/edit?usp=sharing"",""บุรีรัมย์!J169"")"),25)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111.10588235294118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111.10588235294118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IFERROR(__xludf.DUMMYFUNCTION("IMPORTRANGE(""https://docs.google.com/spreadsheets/d/1Yj_ptqi66GCucihVvJfMjLAmec39IyEx_6qawtMGysU/edit?usp=sharing"",""สบก!CB44"")"),42500)</f>
        <v>42500</v>
      </c>
      <c r="N254" s="538">
        <f ca="1">IFERROR(__xludf.DUMMYFUNCTION("IMPORTRANGE(""https://docs.google.com/spreadsheets/d/1Yj_ptqi66GCucihVvJfMjLAmec39IyEx_6qawtMGysU/edit?usp=sharing"",""สบก!CC44"")"),47220)</f>
        <v>47220</v>
      </c>
      <c r="O254" s="170">
        <f ca="1">IF(L254&gt;0,N254*100/L254,0)</f>
        <v>53.056179775280896</v>
      </c>
      <c r="P254" s="170">
        <f ca="1">IF(M254&gt;0,N254*100/M254,0)</f>
        <v>111.10588235294118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IFERROR(__xludf.DUMMYFUNCTION("IMPORTRANGE(""https://docs.google.com/spreadsheets/d/1Yj_ptqi66GCucihVvJfMjLAmec39IyEx_6qawtMGysU/edit?usp=sharing"",""สบก!BX44"")"),0)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IFERROR(__xludf.DUMMYFUNCTION("IMPORTRANGE(""https://docs.google.com/spreadsheets/d/1Yj_ptqi66GCucihVvJfMjLAmec39IyEx_6qawtMGysU/edit?usp=sharing"",""สบก!BY44"")"),89000)</f>
        <v>89000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IFERROR(__xludf.DUMMYFUNCTION("IMPORTRANGE(""https://docs.google.com/spreadsheets/d/1Yj_ptqi66GCucihVvJfMjLAmec39IyEx_6qawtMGysU/edit?usp=sharing"",""สบก!BZ44"")"),0)</f>
        <v>0</v>
      </c>
      <c r="M258" s="536"/>
      <c r="N258" s="533">
        <f ca="1">IFERROR(__xludf.DUMMYFUNCTION("IMPORTRANGE(""https://docs.google.com/spreadsheets/d/1Yj_ptqi66GCucihVvJfMjLAmec39IyEx_6qawtMGysU/edit?usp=sharing"",""สบก!CD44"")"),0)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IFERROR(__xludf.DUMMYFUNCTION("IMPORTRANGE(""https://docs.google.com/spreadsheets/d/1XL5vhW3sbDhbH9Cz0tuDiY8C3ctxq1tqvaCgkFb8cCA/edit?usp=sharing"",""บุรีรัมย์!J175"")"),0)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IFERROR(__xludf.DUMMYFUNCTION("IMPORTRANGE(""https://docs.google.com/spreadsheets/d/1XL5vhW3sbDhbH9Cz0tuDiY8C3ctxq1tqvaCgkFb8cCA/edit?usp=sharing"",""บุรีรัมย์!J176"")"),1)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IFERROR(__xludf.DUMMYFUNCTION("IMPORTRANGE(""https://docs.google.com/spreadsheets/d/1XL5vhW3sbDhbH9Cz0tuDiY8C3ctxq1tqvaCgkFb8cCA/edit?usp=sharing"",""บุรีรัมย์!J177"")"),1)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IFERROR(__xludf.DUMMYFUNCTION("IMPORTRANGE(""https://docs.google.com/spreadsheets/d/1XL5vhW3sbDhbH9Cz0tuDiY8C3ctxq1tqvaCgkFb8cCA/edit?usp=sharing"",""บุรีรัมย์!J178"")"),1)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IFERROR(__xludf.DUMMYFUNCTION("IMPORTRANGE(""https://docs.google.com/spreadsheets/d/1XL5vhW3sbDhbH9Cz0tuDiY8C3ctxq1tqvaCgkFb8cCA/edit?usp=sharing"",""บุรีรัมย์!I179"")"),1)</f>
        <v>1</v>
      </c>
      <c r="J264" s="190">
        <f ca="1">IFERROR(__xludf.DUMMYFUNCTION("IMPORTRANGE(""https://docs.google.com/spreadsheets/d/1XL5vhW3sbDhbH9Cz0tuDiY8C3ctxq1tqvaCgkFb8cCA/edit?usp=sharing"",""บุรีรัมย์!J179"")"),0)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IFERROR(__xludf.DUMMYFUNCTION("IMPORTRANGE(""https://docs.google.com/spreadsheets/d/1XL5vhW3sbDhbH9Cz0tuDiY8C3ctxq1tqvaCgkFb8cCA/edit?usp=sharing"",""บุรีรัมย์!I180"")"),25)</f>
        <v>25</v>
      </c>
      <c r="J265" s="190">
        <f ca="1">IFERROR(__xludf.DUMMYFUNCTION("IMPORTRANGE(""https://docs.google.com/spreadsheets/d/1XL5vhW3sbDhbH9Cz0tuDiY8C3ctxq1tqvaCgkFb8cCA/edit?usp=sharing"",""บุรีรัมย์!J180"")"),25)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IFERROR(__xludf.DUMMYFUNCTION("IMPORTRANGE(""https://docs.google.com/spreadsheets/d/1XL5vhW3sbDhbH9Cz0tuDiY8C3ctxq1tqvaCgkFb8cCA/edit?usp=sharing"",""บุรีรัมย์!I181"")"),25)</f>
        <v>25</v>
      </c>
      <c r="J266" s="190">
        <f ca="1">IFERROR(__xludf.DUMMYFUNCTION("IMPORTRANGE(""https://docs.google.com/spreadsheets/d/1XL5vhW3sbDhbH9Cz0tuDiY8C3ctxq1tqvaCgkFb8cCA/edit?usp=sharing"",""บุรีรัมย์!J181"")"),0)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IFERROR(__xludf.DUMMYFUNCTION("IMPORTRANGE(""https://docs.google.com/spreadsheets/d/1XL5vhW3sbDhbH9Cz0tuDiY8C3ctxq1tqvaCgkFb8cCA/edit?usp=sharing"",""บุรีรัมย์!I182"")"),1)</f>
        <v>1</v>
      </c>
      <c r="J267" s="190">
        <f ca="1">IFERROR(__xludf.DUMMYFUNCTION("IMPORTRANGE(""https://docs.google.com/spreadsheets/d/1XL5vhW3sbDhbH9Cz0tuDiY8C3ctxq1tqvaCgkFb8cCA/edit?usp=sharing"",""บุรีรัมย์!J182"")"),1)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IFERROR(__xludf.DUMMYFUNCTION("IMPORTRANGE(""https://docs.google.com/spreadsheets/d/1XL5vhW3sbDhbH9Cz0tuDiY8C3ctxq1tqvaCgkFb8cCA/edit?usp=sharing"",""บุรีรัมย์!J183"")"),0)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IFERROR(__xludf.DUMMYFUNCTION("IMPORTRANGE(""https://docs.google.com/spreadsheets/d/1XL5vhW3sbDhbH9Cz0tuDiY8C3ctxq1tqvaCgkFb8cCA/edit?usp=sharing"",""บุรีรัมย์!J184"")"),0)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IFERROR(__xludf.DUMMYFUNCTION("IMPORTRANGE(""https://docs.google.com/spreadsheets/d/1XL5vhW3sbDhbH9Cz0tuDiY8C3ctxq1tqvaCgkFb8cCA/edit?usp=sharing"",""บุรีรัมย์!I185"")"),20)</f>
        <v>20</v>
      </c>
      <c r="J270" s="316">
        <f ca="1">IFERROR(__xludf.DUMMYFUNCTION("IMPORTRANGE(""https://docs.google.com/spreadsheets/d/1XL5vhW3sbDhbH9Cz0tuDiY8C3ctxq1tqvaCgkFb8cCA/edit?usp=sharing"",""บุรีรัมย์!J185"")"),20)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447600</v>
      </c>
      <c r="M271" s="152">
        <f t="shared" ca="1" si="83"/>
        <v>220000</v>
      </c>
      <c r="N271" s="152">
        <f t="shared" ca="1" si="83"/>
        <v>199980</v>
      </c>
      <c r="O271" s="151">
        <f t="shared" ref="O271:O273" ca="1" si="84">IF(L271&gt;0,N271*100/L271,0)</f>
        <v>44.678284182305632</v>
      </c>
      <c r="P271" s="151">
        <f t="shared" ref="P271:P273" ca="1" si="85">IF(M271&gt;0,N271*100/M271,0)</f>
        <v>90.9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447600</v>
      </c>
      <c r="M273" s="157">
        <f t="shared" ca="1" si="87"/>
        <v>220000</v>
      </c>
      <c r="N273" s="157">
        <f t="shared" ca="1" si="87"/>
        <v>199980</v>
      </c>
      <c r="O273" s="156">
        <f t="shared" ca="1" si="84"/>
        <v>44.678284182305632</v>
      </c>
      <c r="P273" s="156">
        <f t="shared" ca="1" si="85"/>
        <v>90.9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447600</v>
      </c>
      <c r="M275" s="537">
        <f ca="1">IFERROR(__xludf.DUMMYFUNCTION("IMPORTRANGE(""https://docs.google.com/spreadsheets/d/1Yj_ptqi66GCucihVvJfMjLAmec39IyEx_6qawtMGysU/edit?usp=sharing"",""สบก!CK44"")"),220000)</f>
        <v>220000</v>
      </c>
      <c r="N275" s="538">
        <f ca="1">IFERROR(__xludf.DUMMYFUNCTION("IMPORTRANGE(""https://docs.google.com/spreadsheets/d/1Yj_ptqi66GCucihVvJfMjLAmec39IyEx_6qawtMGysU/edit?usp=sharing"",""สบก!CL44"")"),199980)</f>
        <v>199980</v>
      </c>
      <c r="O275" s="170">
        <f ca="1">IF(L275&gt;0,N275*100/L275,0)</f>
        <v>44.678284182305632</v>
      </c>
      <c r="P275" s="170">
        <f ca="1">IF(M275&gt;0,N275*100/M275,0)</f>
        <v>90.9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IFERROR(__xludf.DUMMYFUNCTION("IMPORTRANGE(""https://docs.google.com/spreadsheets/d/1Yj_ptqi66GCucihVvJfMjLAmec39IyEx_6qawtMGysU/edit?usp=sharing"",""สบก!CG44"")"),264000)</f>
        <v>264000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IFERROR(__xludf.DUMMYFUNCTION("IMPORTRANGE(""https://docs.google.com/spreadsheets/d/1Yj_ptqi66GCucihVvJfMjLAmec39IyEx_6qawtMGysU/edit?usp=sharing"",""สบก!CH44"")"),183600)</f>
        <v>183600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IFERROR(__xludf.DUMMYFUNCTION("IMPORTRANGE(""https://docs.google.com/spreadsheets/d/1Yj_ptqi66GCucihVvJfMjLAmec39IyEx_6qawtMGysU/edit?usp=sharing"",""สบก!CI44"")"),0)</f>
        <v>0</v>
      </c>
      <c r="M279" s="536"/>
      <c r="N279" s="533">
        <f ca="1">IFERROR(__xludf.DUMMYFUNCTION("IMPORTRANGE(""https://docs.google.com/spreadsheets/d/1Yj_ptqi66GCucihVvJfMjLAmec39IyEx_6qawtMGysU/edit?usp=sharing"",""สบก!CM44"")"),0)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IFERROR(__xludf.DUMMYFUNCTION("IMPORTRANGE(""https://docs.google.com/spreadsheets/d/1XL5vhW3sbDhbH9Cz0tuDiY8C3ctxq1tqvaCgkFb8cCA/edit?usp=sharing"",""บุรีรัมย์!J191"")"),0)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IFERROR(__xludf.DUMMYFUNCTION("IMPORTRANGE(""https://docs.google.com/spreadsheets/d/1XL5vhW3sbDhbH9Cz0tuDiY8C3ctxq1tqvaCgkFb8cCA/edit?usp=sharing"",""บุรีรัมย์!J192"")"),1)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IFERROR(__xludf.DUMMYFUNCTION("IMPORTRANGE(""https://docs.google.com/spreadsheets/d/1XL5vhW3sbDhbH9Cz0tuDiY8C3ctxq1tqvaCgkFb8cCA/edit?usp=sharing"",""บุรีรัมย์!J193"")"),1)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IFERROR(__xludf.DUMMYFUNCTION("IMPORTRANGE(""https://docs.google.com/spreadsheets/d/1XL5vhW3sbDhbH9Cz0tuDiY8C3ctxq1tqvaCgkFb8cCA/edit?usp=sharing"",""บุรีรัมย์!J194"")"),1)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IFERROR(__xludf.DUMMYFUNCTION("IMPORTRANGE(""https://docs.google.com/spreadsheets/d/1XL5vhW3sbDhbH9Cz0tuDiY8C3ctxq1tqvaCgkFb8cCA/edit?usp=sharing"",""บุรีรัมย์!I195"")"),20)</f>
        <v>20</v>
      </c>
      <c r="J285" s="190">
        <f ca="1">IFERROR(__xludf.DUMMYFUNCTION("IMPORTRANGE(""https://docs.google.com/spreadsheets/d/1XL5vhW3sbDhbH9Cz0tuDiY8C3ctxq1tqvaCgkFb8cCA/edit?usp=sharing"",""บุรีรัมย์!J195"")"),20)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IFERROR(__xludf.DUMMYFUNCTION("IMPORTRANGE(""https://docs.google.com/spreadsheets/d/1XL5vhW3sbDhbH9Cz0tuDiY8C3ctxq1tqvaCgkFb8cCA/edit?usp=sharing"",""บุรีรัมย์!J196"")"),0)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IFERROR(__xludf.DUMMYFUNCTION("IMPORTRANGE(""https://docs.google.com/spreadsheets/d/1XL5vhW3sbDhbH9Cz0tuDiY8C3ctxq1tqvaCgkFb8cCA/edit?usp=sharing"",""บุรีรัมย์!J197"")"),0)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IFERROR(__xludf.DUMMYFUNCTION("IMPORTRANGE(""https://docs.google.com/spreadsheets/d/1XL5vhW3sbDhbH9Cz0tuDiY8C3ctxq1tqvaCgkFb8cCA/edit?usp=sharing"",""บุรีรัมย์!I199"")"),0)</f>
        <v>0</v>
      </c>
      <c r="J289" s="316">
        <f ca="1">IFERROR(__xludf.DUMMYFUNCTION("IMPORTRANGE(""https://docs.google.com/spreadsheets/d/1XL5vhW3sbDhbH9Cz0tuDiY8C3ctxq1tqvaCgkFb8cCA/edit?usp=sharing"",""บุรีรัมย์!J199"")"),0)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IFERROR(__xludf.DUMMYFUNCTION("IMPORTRANGE(""https://docs.google.com/spreadsheets/d/1Yj_ptqi66GCucihVvJfMjLAmec39IyEx_6qawtMGysU/edit?usp=sharing"",""สบก!CT44"")"),0)</f>
        <v>0</v>
      </c>
      <c r="N294" s="538">
        <f ca="1">IFERROR(__xludf.DUMMYFUNCTION("IMPORTRANGE(""https://docs.google.com/spreadsheets/d/1Yj_ptqi66GCucihVvJfMjLAmec39IyEx_6qawtMGysU/edit?usp=sharing"",""สบก!CU44"")"),0)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IFERROR(__xludf.DUMMYFUNCTION("IMPORTRANGE(""https://docs.google.com/spreadsheets/d/1Yj_ptqi66GCucihVvJfMjLAmec39IyEx_6qawtMGysU/edit?usp=sharing"",""สบก!CP44"")"),0)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IFERROR(__xludf.DUMMYFUNCTION("IMPORTRANGE(""https://docs.google.com/spreadsheets/d/1Yj_ptqi66GCucihVvJfMjLAmec39IyEx_6qawtMGysU/edit?usp=sharing"",""สบก!CQ44"")"),0)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IFERROR(__xludf.DUMMYFUNCTION("IMPORTRANGE(""https://docs.google.com/spreadsheets/d/1Yj_ptqi66GCucihVvJfMjLAmec39IyEx_6qawtMGysU/edit?usp=sharing"",""สบก!CR44"")"),0)</f>
        <v>0</v>
      </c>
      <c r="M298" s="536"/>
      <c r="N298" s="533">
        <f ca="1">IFERROR(__xludf.DUMMYFUNCTION("IMPORTRANGE(""https://docs.google.com/spreadsheets/d/1Yj_ptqi66GCucihVvJfMjLAmec39IyEx_6qawtMGysU/edit?usp=sharing"",""สบก!CV44"")"),0)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IFERROR(__xludf.DUMMYFUNCTION("IMPORTRANGE(""https://docs.google.com/spreadsheets/d/1XL5vhW3sbDhbH9Cz0tuDiY8C3ctxq1tqvaCgkFb8cCA/edit?usp=sharing"",""บุรีรัมย์!I209"")"),0)</f>
        <v>0</v>
      </c>
      <c r="J304" s="205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IFERROR(__xludf.DUMMYFUNCTION("IMPORTRANGE(""https://docs.google.com/spreadsheets/d/1XL5vhW3sbDhbH9Cz0tuDiY8C3ctxq1tqvaCgkFb8cCA/edit?usp=sharing"",""บุรีรัมย์!I211"")"),0)</f>
        <v>0</v>
      </c>
      <c r="J306" s="205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IFERROR(__xludf.DUMMYFUNCTION("IMPORTRANGE(""https://docs.google.com/spreadsheets/d/1XL5vhW3sbDhbH9Cz0tuDiY8C3ctxq1tqvaCgkFb8cCA/edit?usp=sharing"",""บุรีรัมย์!I214"")"),0)</f>
        <v>0</v>
      </c>
      <c r="J309" s="333">
        <f ca="1">IFERROR(__xludf.DUMMYFUNCTION("IMPORTRANGE(""https://docs.google.com/spreadsheets/d/1XL5vhW3sbDhbH9Cz0tuDiY8C3ctxq1tqvaCgkFb8cCA/edit?usp=sharing"",""บุรีรัมย์!J214"")"),0)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IFERROR(__xludf.DUMMYFUNCTION("IMPORTRANGE(""https://docs.google.com/spreadsheets/d/1Yj_ptqi66GCucihVvJfMjLAmec39IyEx_6qawtMGysU/edit?usp=sharing"",""สบก!DC44"")"),0)</f>
        <v>0</v>
      </c>
      <c r="N314" s="538">
        <f ca="1">IFERROR(__xludf.DUMMYFUNCTION("IMPORTRANGE(""https://docs.google.com/spreadsheets/d/1Yj_ptqi66GCucihVvJfMjLAmec39IyEx_6qawtMGysU/edit?usp=sharing"",""สบก!DD44"")"),0)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IFERROR(__xludf.DUMMYFUNCTION("IMPORTRANGE(""https://docs.google.com/spreadsheets/d/1Yj_ptqi66GCucihVvJfMjLAmec39IyEx_6qawtMGysU/edit?usp=sharing"",""สบก!CY44"")"),0)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IFERROR(__xludf.DUMMYFUNCTION("IMPORTRANGE(""https://docs.google.com/spreadsheets/d/1Yj_ptqi66GCucihVvJfMjLAmec39IyEx_6qawtMGysU/edit?usp=sharing"",""สบก!CZ44"")"),0)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IFERROR(__xludf.DUMMYFUNCTION("IMPORTRANGE(""https://docs.google.com/spreadsheets/d/1Yj_ptqi66GCucihVvJfMjLAmec39IyEx_6qawtMGysU/edit?usp=sharing"",""สบก!DA44"")"),0)</f>
        <v>0</v>
      </c>
      <c r="M318" s="536"/>
      <c r="N318" s="533">
        <f ca="1">IFERROR(__xludf.DUMMYFUNCTION("IMPORTRANGE(""https://docs.google.com/spreadsheets/d/1Yj_ptqi66GCucihVvJfMjLAmec39IyEx_6qawtMGysU/edit?usp=sharing"",""สบก!DE44"")"),0)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IFERROR(__xludf.DUMMYFUNCTION("IMPORTRANGE(""https://docs.google.com/spreadsheets/d/1XL5vhW3sbDhbH9Cz0tuDiY8C3ctxq1tqvaCgkFb8cCA/edit?usp=sharing"",""บุรีรัมย์!I224"")"),0)</f>
        <v>0</v>
      </c>
      <c r="J324" s="205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IFERROR(__xludf.DUMMYFUNCTION("IMPORTRANGE(""https://docs.google.com/spreadsheets/d/1XL5vhW3sbDhbH9Cz0tuDiY8C3ctxq1tqvaCgkFb8cCA/edit?usp=sharing"",""บุรีรัมย์!I228"")"),880)</f>
        <v>880</v>
      </c>
      <c r="J328" s="339">
        <f ca="1">IFERROR(__xludf.DUMMYFUNCTION("IMPORTRANGE(""https://docs.google.com/spreadsheets/d/1XL5vhW3sbDhbH9Cz0tuDiY8C3ctxq1tqvaCgkFb8cCA/edit?usp=sharing"",""บุรีรัมย์!J228"")"),208)</f>
        <v>208</v>
      </c>
      <c r="K328" s="317">
        <f ca="1">IF(I328&gt;0,J328*100/I328,0)</f>
        <v>23.636363636363637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1468100</v>
      </c>
      <c r="M329" s="152">
        <f t="shared" ca="1" si="98"/>
        <v>860760</v>
      </c>
      <c r="N329" s="152">
        <f t="shared" ca="1" si="98"/>
        <v>645127</v>
      </c>
      <c r="O329" s="151">
        <f t="shared" ref="O329:O331" ca="1" si="99">IF(L329&gt;0,N329*100/L329,0)</f>
        <v>43.942987534909065</v>
      </c>
      <c r="P329" s="151">
        <f t="shared" ref="P329:P331" ca="1" si="100">IF(M329&gt;0,N329*100/M329,0)</f>
        <v>74.94853385380361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1468100</v>
      </c>
      <c r="M331" s="157">
        <f t="shared" ca="1" si="102"/>
        <v>860760</v>
      </c>
      <c r="N331" s="157">
        <f t="shared" ca="1" si="102"/>
        <v>645127</v>
      </c>
      <c r="O331" s="156">
        <f t="shared" ca="1" si="99"/>
        <v>43.942987534909065</v>
      </c>
      <c r="P331" s="156">
        <f t="shared" ca="1" si="100"/>
        <v>74.94853385380361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1462700</v>
      </c>
      <c r="M333" s="537">
        <f ca="1">IFERROR(__xludf.DUMMYFUNCTION("IMPORTRANGE(""https://docs.google.com/spreadsheets/d/1Yj_ptqi66GCucihVvJfMjLAmec39IyEx_6qawtMGysU/edit?usp=sharing"",""สบก!DL44"")"),855360)</f>
        <v>855360</v>
      </c>
      <c r="N333" s="538">
        <f ca="1">IFERROR(__xludf.DUMMYFUNCTION("IMPORTRANGE(""https://docs.google.com/spreadsheets/d/1Yj_ptqi66GCucihVvJfMjLAmec39IyEx_6qawtMGysU/edit?usp=sharing"",""สบก!DM44"")"),639727)</f>
        <v>639727</v>
      </c>
      <c r="O333" s="170">
        <f ca="1">IF(L333&gt;0,N333*100/L333,0)</f>
        <v>43.736036097627675</v>
      </c>
      <c r="P333" s="170">
        <f ca="1">IF(M333&gt;0,N333*100/M333,0)</f>
        <v>74.79038065843622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IFERROR(__xludf.DUMMYFUNCTION("IMPORTRANGE(""https://docs.google.com/spreadsheets/d/1Yj_ptqi66GCucihVvJfMjLAmec39IyEx_6qawtMGysU/edit?usp=sharing"",""สบก!DH44"")"),442800)</f>
        <v>442800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IFERROR(__xludf.DUMMYFUNCTION("IMPORTRANGE(""https://docs.google.com/spreadsheets/d/1Yj_ptqi66GCucihVvJfMjLAmec39IyEx_6qawtMGysU/edit?usp=sharing"",""สบก!DI44"")"),1019900)</f>
        <v>1019900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IFERROR(__xludf.DUMMYFUNCTION("IMPORTRANGE(""https://docs.google.com/spreadsheets/d/1Yj_ptqi66GCucihVvJfMjLAmec39IyEx_6qawtMGysU/edit?usp=sharing"",""สบก!DJ44"")"),5400)</f>
        <v>5400</v>
      </c>
      <c r="M337" s="536">
        <f ca="1">L337</f>
        <v>5400</v>
      </c>
      <c r="N337" s="533">
        <f ca="1">IFERROR(__xludf.DUMMYFUNCTION("IMPORTRANGE(""https://docs.google.com/spreadsheets/d/1Yj_ptqi66GCucihVvJfMjLAmec39IyEx_6qawtMGysU/edit?usp=sharing"",""สบก!DN44"")"),5400)</f>
        <v>5400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IFERROR(__xludf.DUMMYFUNCTION("IMPORTRANGE(""https://docs.google.com/spreadsheets/d/1XL5vhW3sbDhbH9Cz0tuDiY8C3ctxq1tqvaCgkFb8cCA/edit?usp=sharing"",""บุรีรัมย์!I234"")"),0)</f>
        <v>0</v>
      </c>
      <c r="J339" s="189">
        <f ca="1">IFERROR(__xludf.DUMMYFUNCTION("IMPORTRANGE(""https://docs.google.com/spreadsheets/d/1XL5vhW3sbDhbH9Cz0tuDiY8C3ctxq1tqvaCgkFb8cCA/edit?usp=sharing"",""บุรีรัมย์!J234"")"),638)</f>
        <v>638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IFERROR(__xludf.DUMMYFUNCTION("IMPORTRANGE(""https://docs.google.com/spreadsheets/d/1XL5vhW3sbDhbH9Cz0tuDiY8C3ctxq1tqvaCgkFb8cCA/edit?usp=sharing"",""บุรีรัมย์!I235"")"),7600)</f>
        <v>7600</v>
      </c>
      <c r="J340" s="189">
        <f ca="1">IFERROR(__xludf.DUMMYFUNCTION("IMPORTRANGE(""https://docs.google.com/spreadsheets/d/1XL5vhW3sbDhbH9Cz0tuDiY8C3ctxq1tqvaCgkFb8cCA/edit?usp=sharing"",""บุรีรัมย์!J235"")"),3965.92)</f>
        <v>3965.92</v>
      </c>
      <c r="K340" s="342">
        <f t="shared" ca="1" si="103"/>
        <v>52.183157894736844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IFERROR(__xludf.DUMMYFUNCTION("IMPORTRANGE(""https://docs.google.com/spreadsheets/d/1XL5vhW3sbDhbH9Cz0tuDiY8C3ctxq1tqvaCgkFb8cCA/edit?usp=sharing"",""บุรีรัมย์!I236"")"),880)</f>
        <v>880</v>
      </c>
      <c r="J341" s="189">
        <f ca="1">IFERROR(__xludf.DUMMYFUNCTION("IMPORTRANGE(""https://docs.google.com/spreadsheets/d/1XL5vhW3sbDhbH9Cz0tuDiY8C3ctxq1tqvaCgkFb8cCA/edit?usp=sharing"",""บุรีรัมย์!J236"")"),458)</f>
        <v>458</v>
      </c>
      <c r="K341" s="342">
        <f t="shared" ca="1" si="103"/>
        <v>52.045454545454547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9">
        <f ca="1">IFERROR(__xludf.DUMMYFUNCTION("IMPORTRANGE(""https://docs.google.com/spreadsheets/d/1XL5vhW3sbDhbH9Cz0tuDiY8C3ctxq1tqvaCgkFb8cCA/edit?usp=sharing"",""บุรีรัมย์!J237"")"),2882.69)</f>
        <v>2882.69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IFERROR(__xludf.DUMMYFUNCTION("IMPORTRANGE(""https://docs.google.com/spreadsheets/d/1XL5vhW3sbDhbH9Cz0tuDiY8C3ctxq1tqvaCgkFb8cCA/edit?usp=sharing"",""บุรีรัมย์!I238"")"),880)</f>
        <v>880</v>
      </c>
      <c r="J343" s="189">
        <f ca="1">IFERROR(__xludf.DUMMYFUNCTION("IMPORTRANGE(""https://docs.google.com/spreadsheets/d/1XL5vhW3sbDhbH9Cz0tuDiY8C3ctxq1tqvaCgkFb8cCA/edit?usp=sharing"",""บุรีรัมย์!J238"")"),118)</f>
        <v>118</v>
      </c>
      <c r="K343" s="342">
        <f t="shared" ca="1" si="103"/>
        <v>13.409090909090908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9">
        <f ca="1">IFERROR(__xludf.DUMMYFUNCTION("IMPORTRANGE(""https://docs.google.com/spreadsheets/d/1XL5vhW3sbDhbH9Cz0tuDiY8C3ctxq1tqvaCgkFb8cCA/edit?usp=sharing"",""บุรีรัมย์!J239"")"),812.58)</f>
        <v>812.58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IFERROR(__xludf.DUMMYFUNCTION("IMPORTRANGE(""https://docs.google.com/spreadsheets/d/1XL5vhW3sbDhbH9Cz0tuDiY8C3ctxq1tqvaCgkFb8cCA/edit?usp=sharing"",""บุรีรัมย์!I240"")"),880)</f>
        <v>880</v>
      </c>
      <c r="J345" s="189">
        <f ca="1">IFERROR(__xludf.DUMMYFUNCTION("IMPORTRANGE(""https://docs.google.com/spreadsheets/d/1XL5vhW3sbDhbH9Cz0tuDiY8C3ctxq1tqvaCgkFb8cCA/edit?usp=sharing"",""บุรีรัมย์!J240"")"),208)</f>
        <v>208</v>
      </c>
      <c r="K345" s="342">
        <f t="shared" ca="1" si="103"/>
        <v>23.636363636363637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9">
        <f ca="1">IFERROR(__xludf.DUMMYFUNCTION("IMPORTRANGE(""https://docs.google.com/spreadsheets/d/1XL5vhW3sbDhbH9Cz0tuDiY8C3ctxq1tqvaCgkFb8cCA/edit?usp=sharing"",""บุรีรัมย์!J241"")"),1398.54)</f>
        <v>1398.54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IFERROR(__xludf.DUMMYFUNCTION("IMPORTRANGE(""https://docs.google.com/spreadsheets/d/1XL5vhW3sbDhbH9Cz0tuDiY8C3ctxq1tqvaCgkFb8cCA/edit?usp=sharing"",""บุรีรัมย์!L242"")"),3914197)</f>
        <v>3914197</v>
      </c>
      <c r="M347" s="358"/>
      <c r="N347" s="358">
        <f ca="1">IFERROR(__xludf.DUMMYFUNCTION("IMPORTRANGE(""https://docs.google.com/spreadsheets/d/1XL5vhW3sbDhbH9Cz0tuDiY8C3ctxq1tqvaCgkFb8cCA/edit?usp=sharing"",""บุรีรัมย์!M242"")"),366950.38)</f>
        <v>366950.38</v>
      </c>
      <c r="O347" s="358">
        <f ca="1">+IF(L347&gt;0,N347*100/L347,0)</f>
        <v>9.3748572184792955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IFERROR(__xludf.DUMMYFUNCTION("IMPORTRANGE(""https://docs.google.com/spreadsheets/d/1XL5vhW3sbDhbH9Cz0tuDiY8C3ctxq1tqvaCgkFb8cCA/edit?usp=sharing"",""บุรีรัมย์!M244"")"),80239.9899999999)</f>
        <v>80239.989999999903</v>
      </c>
      <c r="O349" s="373">
        <f ca="1">+IF(L349&gt;0,N349*100/L349,0)</f>
        <v>9.9058047232818431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IFERROR(__xludf.DUMMYFUNCTION("IMPORTRANGE(""https://docs.google.com/spreadsheets/d/1XL5vhW3sbDhbH9Cz0tuDiY8C3ctxq1tqvaCgkFb8cCA/edit?usp=sharing"",""บุรีรัมย์!L246"")"),0)</f>
        <v>0</v>
      </c>
      <c r="M351" s="166"/>
      <c r="N351" s="166">
        <f ca="1">IFERROR(__xludf.DUMMYFUNCTION("IMPORTRANGE(""https://docs.google.com/spreadsheets/d/1XL5vhW3sbDhbH9Cz0tuDiY8C3ctxq1tqvaCgkFb8cCA/edit?usp=sharing"",""บุรีรัมย์!M246"")"),0)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IFERROR(__xludf.DUMMYFUNCTION("IMPORTRANGE(""https://docs.google.com/spreadsheets/d/1XL5vhW3sbDhbH9Cz0tuDiY8C3ctxq1tqvaCgkFb8cCA/edit?usp=sharing"",""บุรีรัมย์!L247"")"),810030)</f>
        <v>810030</v>
      </c>
      <c r="M352" s="167"/>
      <c r="N352" s="166">
        <f ca="1">IFERROR(__xludf.DUMMYFUNCTION("IMPORTRANGE(""https://docs.google.com/spreadsheets/d/1XL5vhW3sbDhbH9Cz0tuDiY8C3ctxq1tqvaCgkFb8cCA/edit?usp=sharing"",""บุรีรัมย์!M247"")"),80239.9899999999)</f>
        <v>80239.989999999903</v>
      </c>
      <c r="O352" s="167">
        <f t="shared" ca="1" si="105"/>
        <v>9.9058047232818431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IFERROR(__xludf.DUMMYFUNCTION("IMPORTRANGE(""https://docs.google.com/spreadsheets/d/1XL5vhW3sbDhbH9Cz0tuDiY8C3ctxq1tqvaCgkFb8cCA/edit?usp=sharing"",""บุรีรัมย์!L248"")"),0)</f>
        <v>0</v>
      </c>
      <c r="M353" s="170"/>
      <c r="N353" s="170">
        <f ca="1">IFERROR(__xludf.DUMMYFUNCTION("IMPORTRANGE(""https://docs.google.com/spreadsheets/d/1XL5vhW3sbDhbH9Cz0tuDiY8C3ctxq1tqvaCgkFb8cCA/edit?usp=sharing"",""บุรีรัมย์!M248"")"),0)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IFERROR(__xludf.DUMMYFUNCTION("IMPORTRANGE(""https://docs.google.com/spreadsheets/d/1XL5vhW3sbDhbH9Cz0tuDiY8C3ctxq1tqvaCgkFb8cCA/edit?usp=sharing"",""บุรีรัมย์!L249"")"),810030)</f>
        <v>810030</v>
      </c>
      <c r="M354" s="170"/>
      <c r="N354" s="169">
        <f ca="1">IFERROR(__xludf.DUMMYFUNCTION("IMPORTRANGE(""https://docs.google.com/spreadsheets/d/1XL5vhW3sbDhbH9Cz0tuDiY8C3ctxq1tqvaCgkFb8cCA/edit?usp=sharing"",""บุรีรัมย์!M249"")"),80239.9899999999)</f>
        <v>80239.989999999903</v>
      </c>
      <c r="O354" s="170">
        <f t="shared" ca="1" si="105"/>
        <v>9.9058047232818431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IFERROR(__xludf.DUMMYFUNCTION("IMPORTRANGE(""https://docs.google.com/spreadsheets/d/1XL5vhW3sbDhbH9Cz0tuDiY8C3ctxq1tqvaCgkFb8cCA/edit?usp=sharing"",""บุรีรัมย์!M250"")"),0)</f>
        <v>0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IFERROR(__xludf.DUMMYFUNCTION("IMPORTRANGE(""https://docs.google.com/spreadsheets/d/1XL5vhW3sbDhbH9Cz0tuDiY8C3ctxq1tqvaCgkFb8cCA/edit?usp=sharing"",""บุรีรัมย์!M252"")"),42899.99)</f>
        <v>42899.99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IFERROR(__xludf.DUMMYFUNCTION("IMPORTRANGE(""https://docs.google.com/spreadsheets/d/1XL5vhW3sbDhbH9Cz0tuDiY8C3ctxq1tqvaCgkFb8cCA/edit?usp=sharing"",""บุรีรัมย์!M253"")"),37340)</f>
        <v>37340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IFERROR(__xludf.DUMMYFUNCTION("IMPORTRANGE(""https://docs.google.com/spreadsheets/d/1XL5vhW3sbDhbH9Cz0tuDiY8C3ctxq1tqvaCgkFb8cCA/edit?usp=sharing"",""บุรีรัมย์!J255"")"),0)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IFERROR(__xludf.DUMMYFUNCTION("IMPORTRANGE(""https://docs.google.com/spreadsheets/d/1XL5vhW3sbDhbH9Cz0tuDiY8C3ctxq1tqvaCgkFb8cCA/edit?usp=sharing"",""บุรีรัมย์!J256"")"),1)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IFERROR(__xludf.DUMMYFUNCTION("IMPORTRANGE(""https://docs.google.com/spreadsheets/d/1XL5vhW3sbDhbH9Cz0tuDiY8C3ctxq1tqvaCgkFb8cCA/edit?usp=sharing"",""บุรีรัมย์!J257"")"),1)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IFERROR(__xludf.DUMMYFUNCTION("IMPORTRANGE(""https://docs.google.com/spreadsheets/d/1XL5vhW3sbDhbH9Cz0tuDiY8C3ctxq1tqvaCgkFb8cCA/edit?usp=sharing"",""บุรีรัมย์!J258"")"),1)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IFERROR(__xludf.DUMMYFUNCTION("IMPORTRANGE(""https://docs.google.com/spreadsheets/d/1XL5vhW3sbDhbH9Cz0tuDiY8C3ctxq1tqvaCgkFb8cCA/edit?usp=sharing"",""บุรีรัมย์!J166"")"),0)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IFERROR(__xludf.DUMMYFUNCTION("IMPORTRANGE(""https://docs.google.com/spreadsheets/d/1XL5vhW3sbDhbH9Cz0tuDiY8C3ctxq1tqvaCgkFb8cCA/edit?usp=sharing"",""บุรีรัมย์!J166"")"),0)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IFERROR(__xludf.DUMMYFUNCTION("IMPORTRANGE(""https://docs.google.com/spreadsheets/d/1XL5vhW3sbDhbH9Cz0tuDiY8C3ctxq1tqvaCgkFb8cCA/edit?usp=sharing"",""บุรีรัมย์!J166"")"),0)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IFERROR(__xludf.DUMMYFUNCTION("IMPORTRANGE(""https://docs.google.com/spreadsheets/d/1XL5vhW3sbDhbH9Cz0tuDiY8C3ctxq1tqvaCgkFb8cCA/edit?usp=sharing"",""บุรีรัมย์!J166"")"),0)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IFERROR(__xludf.DUMMYFUNCTION("IMPORTRANGE(""https://docs.google.com/spreadsheets/d/1XL5vhW3sbDhbH9Cz0tuDiY8C3ctxq1tqvaCgkFb8cCA/edit?usp=sharing"",""บุรีรัมย์!I263"")"),55)</f>
        <v>55</v>
      </c>
      <c r="J368" s="189">
        <f ca="1">IFERROR(__xludf.DUMMYFUNCTION("IMPORTRANGE(""https://docs.google.com/spreadsheets/d/1XL5vhW3sbDhbH9Cz0tuDiY8C3ctxq1tqvaCgkFb8cCA/edit?usp=sharing"",""บุรีรัมย์!J263"")"),0)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IFERROR(__xludf.DUMMYFUNCTION("IMPORTRANGE(""https://docs.google.com/spreadsheets/d/1XL5vhW3sbDhbH9Cz0tuDiY8C3ctxq1tqvaCgkFb8cCA/edit?usp=sharing"",""บุรีรัมย์!I164"")"),0)</f>
        <v>0</v>
      </c>
      <c r="J369" s="205">
        <f ca="1">IFERROR(__xludf.DUMMYFUNCTION("IMPORTRANGE(""https://docs.google.com/spreadsheets/d/1XL5vhW3sbDhbH9Cz0tuDiY8C3ctxq1tqvaCgkFb8cCA/edit?usp=sharing"",""บุรีรัมย์!J164"")"),0)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IFERROR(__xludf.DUMMYFUNCTION("IMPORTRANGE(""https://docs.google.com/spreadsheets/d/1XL5vhW3sbDhbH9Cz0tuDiY8C3ctxq1tqvaCgkFb8cCA/edit?usp=sharing"",""บุรีรัมย์!I265"")"),55)</f>
        <v>55</v>
      </c>
      <c r="J370" s="205">
        <f ca="1">IFERROR(__xludf.DUMMYFUNCTION("IMPORTRANGE(""https://docs.google.com/spreadsheets/d/1XL5vhW3sbDhbH9Cz0tuDiY8C3ctxq1tqvaCgkFb8cCA/edit?usp=sharing"",""บุรีรัมย์!J265"")"),55)</f>
        <v>55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IFERROR(__xludf.DUMMYFUNCTION("IMPORTRANGE(""https://docs.google.com/spreadsheets/d/1XL5vhW3sbDhbH9Cz0tuDiY8C3ctxq1tqvaCgkFb8cCA/edit?usp=sharing"",""บุรีรัมย์!I164"")"),0)</f>
        <v>0</v>
      </c>
      <c r="J371" s="190">
        <f ca="1">IFERROR(__xludf.DUMMYFUNCTION("IMPORTRANGE(""https://docs.google.com/spreadsheets/d/1XL5vhW3sbDhbH9Cz0tuDiY8C3ctxq1tqvaCgkFb8cCA/edit?usp=sharing"",""บุรีรัมย์!J164"")"),0)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IFERROR(__xludf.DUMMYFUNCTION("IMPORTRANGE(""https://docs.google.com/spreadsheets/d/1XL5vhW3sbDhbH9Cz0tuDiY8C3ctxq1tqvaCgkFb8cCA/edit?usp=sharing"",""บุรีรัมย์!I267"")"),55)</f>
        <v>55</v>
      </c>
      <c r="J372" s="190">
        <f ca="1">IFERROR(__xludf.DUMMYFUNCTION("IMPORTRANGE(""https://docs.google.com/spreadsheets/d/1XL5vhW3sbDhbH9Cz0tuDiY8C3ctxq1tqvaCgkFb8cCA/edit?usp=sharing"",""บุรีรัมย์!J267"")"),0)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IFERROR(__xludf.DUMMYFUNCTION("IMPORTRANGE(""https://docs.google.com/spreadsheets/d/1XL5vhW3sbDhbH9Cz0tuDiY8C3ctxq1tqvaCgkFb8cCA/edit?usp=sharing"",""บุรีรัมย์!I164"")"),0)</f>
        <v>0</v>
      </c>
      <c r="J373" s="205">
        <f ca="1">IFERROR(__xludf.DUMMYFUNCTION("IMPORTRANGE(""https://docs.google.com/spreadsheets/d/1XL5vhW3sbDhbH9Cz0tuDiY8C3ctxq1tqvaCgkFb8cCA/edit?usp=sharing"",""บุรีรัมย์!J164"")"),0)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IFERROR(__xludf.DUMMYFUNCTION("IMPORTRANGE(""https://docs.google.com/spreadsheets/d/1XL5vhW3sbDhbH9Cz0tuDiY8C3ctxq1tqvaCgkFb8cCA/edit?usp=sharing"",""บุรีรัมย์!I164"")"),0)</f>
        <v>0</v>
      </c>
      <c r="J374" s="189">
        <f ca="1">IFERROR(__xludf.DUMMYFUNCTION("IMPORTRANGE(""https://docs.google.com/spreadsheets/d/1XL5vhW3sbDhbH9Cz0tuDiY8C3ctxq1tqvaCgkFb8cCA/edit?usp=sharing"",""บุรีรัมย์!J164"")"),0)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IFERROR(__xludf.DUMMYFUNCTION("IMPORTRANGE(""https://docs.google.com/spreadsheets/d/1XL5vhW3sbDhbH9Cz0tuDiY8C3ctxq1tqvaCgkFb8cCA/edit?usp=sharing"",""บุรีรัมย์!I270"")"),550)</f>
        <v>550</v>
      </c>
      <c r="J375" s="189">
        <f ca="1">IFERROR(__xludf.DUMMYFUNCTION("IMPORTRANGE(""https://docs.google.com/spreadsheets/d/1XL5vhW3sbDhbH9Cz0tuDiY8C3ctxq1tqvaCgkFb8cCA/edit?usp=sharing"",""บุรีรัมย์!J270"")"),0)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IFERROR(__xludf.DUMMYFUNCTION("IMPORTRANGE(""https://docs.google.com/spreadsheets/d/1XL5vhW3sbDhbH9Cz0tuDiY8C3ctxq1tqvaCgkFb8cCA/edit?usp=sharing"",""บุรีรัมย์!I271"")"),550)</f>
        <v>550</v>
      </c>
      <c r="J376" s="190">
        <f ca="1">IFERROR(__xludf.DUMMYFUNCTION("IMPORTRANGE(""https://docs.google.com/spreadsheets/d/1XL5vhW3sbDhbH9Cz0tuDiY8C3ctxq1tqvaCgkFb8cCA/edit?usp=sharing"",""บุรีรัมย์!J271"")"),0)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IFERROR(__xludf.DUMMYFUNCTION("IMPORTRANGE(""https://docs.google.com/spreadsheets/d/1XL5vhW3sbDhbH9Cz0tuDiY8C3ctxq1tqvaCgkFb8cCA/edit?usp=sharing"",""บุรีรัมย์!I272"")"),0)</f>
        <v>0</v>
      </c>
      <c r="J377" s="205">
        <f ca="1">IFERROR(__xludf.DUMMYFUNCTION("IMPORTRANGE(""https://docs.google.com/spreadsheets/d/1XL5vhW3sbDhbH9Cz0tuDiY8C3ctxq1tqvaCgkFb8cCA/edit?usp=sharing"",""บุรีรัมย์!J272"")"),0)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IFERROR(__xludf.DUMMYFUNCTION("IMPORTRANGE(""https://docs.google.com/spreadsheets/d/1XL5vhW3sbDhbH9Cz0tuDiY8C3ctxq1tqvaCgkFb8cCA/edit?usp=sharing"",""บุรีรัมย์!J273"")"),0)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IFERROR(__xludf.DUMMYFUNCTION("IMPORTRANGE(""https://docs.google.com/spreadsheets/d/1XL5vhW3sbDhbH9Cz0tuDiY8C3ctxq1tqvaCgkFb8cCA/edit?usp=sharing"",""บุรีรัมย์!M275"")"),72394.98)</f>
        <v>72394.98</v>
      </c>
      <c r="O380" s="373">
        <f ca="1">+IF(L380&gt;0,N380*100/L380,0)</f>
        <v>7.0387527709718816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IFERROR(__xludf.DUMMYFUNCTION("IMPORTRANGE(""https://docs.google.com/spreadsheets/d/1XL5vhW3sbDhbH9Cz0tuDiY8C3ctxq1tqvaCgkFb8cCA/edit?usp=sharing"",""บุรีรัมย์!L277"")"),0)</f>
        <v>0</v>
      </c>
      <c r="M382" s="166"/>
      <c r="N382" s="166">
        <f ca="1">IFERROR(__xludf.DUMMYFUNCTION("IMPORTRANGE(""https://docs.google.com/spreadsheets/d/1XL5vhW3sbDhbH9Cz0tuDiY8C3ctxq1tqvaCgkFb8cCA/edit?usp=sharing"",""บุรีรัมย์!M277"")"),0)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IFERROR(__xludf.DUMMYFUNCTION("IMPORTRANGE(""https://docs.google.com/spreadsheets/d/1XL5vhW3sbDhbH9Cz0tuDiY8C3ctxq1tqvaCgkFb8cCA/edit?usp=sharing"",""บุรีรัมย์!L278"")"),1028520)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IFERROR(__xludf.DUMMYFUNCTION("IMPORTRANGE(""https://docs.google.com/spreadsheets/d/1XL5vhW3sbDhbH9Cz0tuDiY8C3ctxq1tqvaCgkFb8cCA/edit?usp=sharing"",""บุรีรัมย์!M278"")"),72394.98)</f>
        <v>72394.98</v>
      </c>
      <c r="O383" s="167">
        <f t="shared" ca="1" si="109"/>
        <v>7.0387527709718816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IFERROR(__xludf.DUMMYFUNCTION("IMPORTRANGE(""https://docs.google.com/spreadsheets/d/1XL5vhW3sbDhbH9Cz0tuDiY8C3ctxq1tqvaCgkFb8cCA/edit?usp=sharing"",""บุรีรัมย์!L279"")"),0)</f>
        <v>0</v>
      </c>
      <c r="M384" s="170"/>
      <c r="N384" s="170">
        <f ca="1">IFERROR(__xludf.DUMMYFUNCTION("IMPORTRANGE(""https://docs.google.com/spreadsheets/d/1XL5vhW3sbDhbH9Cz0tuDiY8C3ctxq1tqvaCgkFb8cCA/edit?usp=sharing"",""บุรีรัมย์!M279"")"),0)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IFERROR(__xludf.DUMMYFUNCTION("IMPORTRANGE(""https://docs.google.com/spreadsheets/d/1XL5vhW3sbDhbH9Cz0tuDiY8C3ctxq1tqvaCgkFb8cCA/edit?usp=sharing"",""บุรีรัมย์!L280"")"),1028520)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IFERROR(__xludf.DUMMYFUNCTION("IMPORTRANGE(""https://docs.google.com/spreadsheets/d/1XL5vhW3sbDhbH9Cz0tuDiY8C3ctxq1tqvaCgkFb8cCA/edit?usp=sharing"",""บุรีรัมย์!M280"")"),72394.98)</f>
        <v>72394.98</v>
      </c>
      <c r="O385" s="170">
        <f t="shared" ca="1" si="109"/>
        <v>7.0387527709718816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IFERROR(__xludf.DUMMYFUNCTION("IMPORTRANGE(""https://docs.google.com/spreadsheets/d/1XL5vhW3sbDhbH9Cz0tuDiY8C3ctxq1tqvaCgkFb8cCA/edit?usp=sharing"",""บุรีรัมย์!M281"")"),0)</f>
        <v>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IFERROR(__xludf.DUMMYFUNCTION("IMPORTRANGE(""https://docs.google.com/spreadsheets/d/1XL5vhW3sbDhbH9Cz0tuDiY8C3ctxq1tqvaCgkFb8cCA/edit?usp=sharing"",""บุรีรัมย์!M283"")"),41799.98)</f>
        <v>41799.980000000003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IFERROR(__xludf.DUMMYFUNCTION("IMPORTRANGE(""https://docs.google.com/spreadsheets/d/1XL5vhW3sbDhbH9Cz0tuDiY8C3ctxq1tqvaCgkFb8cCA/edit?usp=sharing"",""บุรีรัมย์!M284"")"),30595)</f>
        <v>30595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IFERROR(__xludf.DUMMYFUNCTION("IMPORTRANGE(""https://docs.google.com/spreadsheets/d/1XL5vhW3sbDhbH9Cz0tuDiY8C3ctxq1tqvaCgkFb8cCA/edit?usp=sharing"",""บุรีรัมย์!J286"")"),0)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IFERROR(__xludf.DUMMYFUNCTION("IMPORTRANGE(""https://docs.google.com/spreadsheets/d/1XL5vhW3sbDhbH9Cz0tuDiY8C3ctxq1tqvaCgkFb8cCA/edit?usp=sharing"",""บุรีรัมย์!J287"")"),1)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IFERROR(__xludf.DUMMYFUNCTION("IMPORTRANGE(""https://docs.google.com/spreadsheets/d/1XL5vhW3sbDhbH9Cz0tuDiY8C3ctxq1tqvaCgkFb8cCA/edit?usp=sharing"",""บุรีรัมย์!J288"")"),1)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IFERROR(__xludf.DUMMYFUNCTION("IMPORTRANGE(""https://docs.google.com/spreadsheets/d/1XL5vhW3sbDhbH9Cz0tuDiY8C3ctxq1tqvaCgkFb8cCA/edit?usp=sharing"",""บุรีรัมย์!J289"")"),1)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IFERROR(__xludf.DUMMYFUNCTION("IMPORTRANGE(""https://docs.google.com/spreadsheets/d/1XL5vhW3sbDhbH9Cz0tuDiY8C3ctxq1tqvaCgkFb8cCA/edit?usp=sharing"",""บุรีรัมย์!I291"")"),100)</f>
        <v>100</v>
      </c>
      <c r="J396" s="199">
        <f ca="1">IFERROR(__xludf.DUMMYFUNCTION("IMPORTRANGE(""https://docs.google.com/spreadsheets/d/1XL5vhW3sbDhbH9Cz0tuDiY8C3ctxq1tqvaCgkFb8cCA/edit?usp=sharing"",""บุรีรัมย์!J291"")"),100)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IFERROR(__xludf.DUMMYFUNCTION("IMPORTRANGE(""https://docs.google.com/spreadsheets/d/1XL5vhW3sbDhbH9Cz0tuDiY8C3ctxq1tqvaCgkFb8cCA/edit?usp=sharing"",""บุรีรัมย์!I292"")"),1000)</f>
        <v>1000</v>
      </c>
      <c r="J397" s="199">
        <f ca="1">IFERROR(__xludf.DUMMYFUNCTION("IMPORTRANGE(""https://docs.google.com/spreadsheets/d/1XL5vhW3sbDhbH9Cz0tuDiY8C3ctxq1tqvaCgkFb8cCA/edit?usp=sharing"",""บุรีรัมย์!J292"")"),0)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IFERROR(__xludf.DUMMYFUNCTION("IMPORTRANGE(""https://docs.google.com/spreadsheets/d/1XL5vhW3sbDhbH9Cz0tuDiY8C3ctxq1tqvaCgkFb8cCA/edit?usp=sharing"",""บุรีรัมย์!I293"")"),100)</f>
        <v>100</v>
      </c>
      <c r="J398" s="199">
        <f ca="1">IFERROR(__xludf.DUMMYFUNCTION("IMPORTRANGE(""https://docs.google.com/spreadsheets/d/1XL5vhW3sbDhbH9Cz0tuDiY8C3ctxq1tqvaCgkFb8cCA/edit?usp=sharing"",""บุรีรัมย์!J293"")"),0)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IFERROR(__xludf.DUMMYFUNCTION("IMPORTRANGE(""https://docs.google.com/spreadsheets/d/1XL5vhW3sbDhbH9Cz0tuDiY8C3ctxq1tqvaCgkFb8cCA/edit?usp=sharing"",""บุรีรัมย์!J294"")"),0)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IFERROR(__xludf.DUMMYFUNCTION("IMPORTRANGE(""https://docs.google.com/spreadsheets/d/1XL5vhW3sbDhbH9Cz0tuDiY8C3ctxq1tqvaCgkFb8cCA/edit?usp=sharing"",""บุรีรัมย์!J295"")"),0)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IFERROR(__xludf.DUMMYFUNCTION("IMPORTRANGE(""https://docs.google.com/spreadsheets/d/1XL5vhW3sbDhbH9Cz0tuDiY8C3ctxq1tqvaCgkFb8cCA/edit?usp=sharing"",""บุรีรัมย์!M296"")"),1350)</f>
        <v>1350</v>
      </c>
      <c r="O401" s="373">
        <f ca="1">+IF(L401&gt;0,N401*100/L401,0)</f>
        <v>0.58677793714956317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IFERROR(__xludf.DUMMYFUNCTION("IMPORTRANGE(""https://docs.google.com/spreadsheets/d/1XL5vhW3sbDhbH9Cz0tuDiY8C3ctxq1tqvaCgkFb8cCA/edit?usp=sharing"",""บุรีรัมย์!L298"")"),0)</f>
        <v>0</v>
      </c>
      <c r="M403" s="166"/>
      <c r="N403" s="170">
        <f ca="1">IFERROR(__xludf.DUMMYFUNCTION("IMPORTRANGE(""https://docs.google.com/spreadsheets/d/1XL5vhW3sbDhbH9Cz0tuDiY8C3ctxq1tqvaCgkFb8cCA/edit?usp=sharing"",""บุรีรัมย์!M298"")"),0)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IFERROR(__xludf.DUMMYFUNCTION("IMPORTRANGE(""https://docs.google.com/spreadsheets/d/1XL5vhW3sbDhbH9Cz0tuDiY8C3ctxq1tqvaCgkFb8cCA/edit?usp=sharing"",""บุรีรัมย์!L299"")"),230070)</f>
        <v>230070</v>
      </c>
      <c r="M404" s="167"/>
      <c r="N404" s="170">
        <f ca="1">IFERROR(__xludf.DUMMYFUNCTION("IMPORTRANGE(""https://docs.google.com/spreadsheets/d/1XL5vhW3sbDhbH9Cz0tuDiY8C3ctxq1tqvaCgkFb8cCA/edit?usp=sharing"",""บุรีรัมย์!M299"")"),1350)</f>
        <v>1350</v>
      </c>
      <c r="O404" s="170">
        <f t="shared" ca="1" si="112"/>
        <v>0.58677793714956317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IFERROR(__xludf.DUMMYFUNCTION("IMPORTRANGE(""https://docs.google.com/spreadsheets/d/1XL5vhW3sbDhbH9Cz0tuDiY8C3ctxq1tqvaCgkFb8cCA/edit?usp=sharing"",""บุรีรัมย์!L300"")"),0)</f>
        <v>0</v>
      </c>
      <c r="M405" s="170"/>
      <c r="N405" s="170">
        <f ca="1">IFERROR(__xludf.DUMMYFUNCTION("IMPORTRANGE(""https://docs.google.com/spreadsheets/d/1XL5vhW3sbDhbH9Cz0tuDiY8C3ctxq1tqvaCgkFb8cCA/edit?usp=sharing"",""บุรีรัมย์!M300"")"),0)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IFERROR(__xludf.DUMMYFUNCTION("IMPORTRANGE(""https://docs.google.com/spreadsheets/d/1XL5vhW3sbDhbH9Cz0tuDiY8C3ctxq1tqvaCgkFb8cCA/edit?usp=sharing"",""บุรีรัมย์!L301"")"),230070)</f>
        <v>230070</v>
      </c>
      <c r="M406" s="170"/>
      <c r="N406" s="170">
        <f ca="1">IFERROR(__xludf.DUMMYFUNCTION("IMPORTRANGE(""https://docs.google.com/spreadsheets/d/1XL5vhW3sbDhbH9Cz0tuDiY8C3ctxq1tqvaCgkFb8cCA/edit?usp=sharing"",""บุรีรัมย์!M301"")"),1350)</f>
        <v>1350</v>
      </c>
      <c r="O406" s="170">
        <f t="shared" ca="1" si="112"/>
        <v>0.58677793714956317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IFERROR(__xludf.DUMMYFUNCTION("IMPORTRANGE(""https://docs.google.com/spreadsheets/d/1XL5vhW3sbDhbH9Cz0tuDiY8C3ctxq1tqvaCgkFb8cCA/edit?usp=sharing"",""บุรีรัมย์!M302"")"),0)</f>
        <v>0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IFERROR(__xludf.DUMMYFUNCTION("IMPORTRANGE(""https://docs.google.com/spreadsheets/d/1XL5vhW3sbDhbH9Cz0tuDiY8C3ctxq1tqvaCgkFb8cCA/edit?usp=sharing"",""บุรีรัมย์!M303"")"),0)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IFERROR(__xludf.DUMMYFUNCTION("IMPORTRANGE(""https://docs.google.com/spreadsheets/d/1XL5vhW3sbDhbH9Cz0tuDiY8C3ctxq1tqvaCgkFb8cCA/edit?usp=sharing"",""บุรีรัมย์!M305"")"),1350)</f>
        <v>1350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IFERROR(__xludf.DUMMYFUNCTION("IMPORTRANGE(""https://docs.google.com/spreadsheets/d/1XL5vhW3sbDhbH9Cz0tuDiY8C3ctxq1tqvaCgkFb8cCA/edit?usp=sharing"",""บุรีรัมย์!J307"")"),0)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IFERROR(__xludf.DUMMYFUNCTION("IMPORTRANGE(""https://docs.google.com/spreadsheets/d/1XL5vhW3sbDhbH9Cz0tuDiY8C3ctxq1tqvaCgkFb8cCA/edit?usp=sharing"",""บุรีรัมย์!J308"")"),1)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IFERROR(__xludf.DUMMYFUNCTION("IMPORTRANGE(""https://docs.google.com/spreadsheets/d/1XL5vhW3sbDhbH9Cz0tuDiY8C3ctxq1tqvaCgkFb8cCA/edit?usp=sharing"",""บุรีรัมย์!J309"")"),1)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IFERROR(__xludf.DUMMYFUNCTION("IMPORTRANGE(""https://docs.google.com/spreadsheets/d/1XL5vhW3sbDhbH9Cz0tuDiY8C3ctxq1tqvaCgkFb8cCA/edit?usp=sharing"",""บุรีรัมย์!J310"")"),1)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IFERROR(__xludf.DUMMYFUNCTION("IMPORTRANGE(""https://docs.google.com/spreadsheets/d/1XL5vhW3sbDhbH9Cz0tuDiY8C3ctxq1tqvaCgkFb8cCA/edit?usp=sharing"",""บุรีรัมย์!I311"")"),75)</f>
        <v>75</v>
      </c>
      <c r="J416" s="202">
        <f ca="1">IFERROR(__xludf.DUMMYFUNCTION("IMPORTRANGE(""https://docs.google.com/spreadsheets/d/1XL5vhW3sbDhbH9Cz0tuDiY8C3ctxq1tqvaCgkFb8cCA/edit?usp=sharing"",""บุรีรัมย์!J311"")"),0)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IFERROR(__xludf.DUMMYFUNCTION("IMPORTRANGE(""https://docs.google.com/spreadsheets/d/1XL5vhW3sbDhbH9Cz0tuDiY8C3ctxq1tqvaCgkFb8cCA/edit?usp=sharing"",""บุรีรัมย์!J328"")"),0)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IFERROR(__xludf.DUMMYFUNCTION("IMPORTRANGE(""https://docs.google.com/spreadsheets/d/1XL5vhW3sbDhbH9Cz0tuDiY8C3ctxq1tqvaCgkFb8cCA/edit?usp=sharing"",""บุรีรัมย์!J329"")"),0)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IFERROR(__xludf.DUMMYFUNCTION("IMPORTRANGE(""https://docs.google.com/spreadsheets/d/1XL5vhW3sbDhbH9Cz0tuDiY8C3ctxq1tqvaCgkFb8cCA/edit?usp=sharing"",""บุรีรัมย์!M330"")"),46837.8)</f>
        <v>46837.8</v>
      </c>
      <c r="O435" s="412">
        <f t="shared" ref="O435:O439" ca="1" si="114">+IF(L435&gt;0,N435*100/L435,0)</f>
        <v>39.693050847457627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IFERROR(__xludf.DUMMYFUNCTION("IMPORTRANGE(""https://docs.google.com/spreadsheets/d/1XL5vhW3sbDhbH9Cz0tuDiY8C3ctxq1tqvaCgkFb8cCA/edit?usp=sharing"",""บุรีรัมย์!L331"")"),0)</f>
        <v>0</v>
      </c>
      <c r="M436" s="166"/>
      <c r="N436" s="170">
        <f ca="1">IFERROR(__xludf.DUMMYFUNCTION("IMPORTRANGE(""https://docs.google.com/spreadsheets/d/1XL5vhW3sbDhbH9Cz0tuDiY8C3ctxq1tqvaCgkFb8cCA/edit?usp=sharing"",""บุรีรัมย์!M331"")"),0)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IFERROR(__xludf.DUMMYFUNCTION("IMPORTRANGE(""https://docs.google.com/spreadsheets/d/1XL5vhW3sbDhbH9Cz0tuDiY8C3ctxq1tqvaCgkFb8cCA/edit?usp=sharing"",""บุรีรัมย์!L332"")"),118000)</f>
        <v>118000</v>
      </c>
      <c r="M437" s="167"/>
      <c r="N437" s="170">
        <f ca="1">IFERROR(__xludf.DUMMYFUNCTION("IMPORTRANGE(""https://docs.google.com/spreadsheets/d/1XL5vhW3sbDhbH9Cz0tuDiY8C3ctxq1tqvaCgkFb8cCA/edit?usp=sharing"",""บุรีรัมย์!M332"")"),46837.8)</f>
        <v>46837.8</v>
      </c>
      <c r="O437" s="170">
        <f t="shared" ca="1" si="114"/>
        <v>39.693050847457627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IFERROR(__xludf.DUMMYFUNCTION("IMPORTRANGE(""https://docs.google.com/spreadsheets/d/1XL5vhW3sbDhbH9Cz0tuDiY8C3ctxq1tqvaCgkFb8cCA/edit?usp=sharing"",""บุรีรัมย์!L333"")"),0)</f>
        <v>0</v>
      </c>
      <c r="M438" s="170"/>
      <c r="N438" s="170">
        <f ca="1">IFERROR(__xludf.DUMMYFUNCTION("IMPORTRANGE(""https://docs.google.com/spreadsheets/d/1XL5vhW3sbDhbH9Cz0tuDiY8C3ctxq1tqvaCgkFb8cCA/edit?usp=sharing"",""บุรีรัมย์!M333"")"),0)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IFERROR(__xludf.DUMMYFUNCTION("IMPORTRANGE(""https://docs.google.com/spreadsheets/d/1XL5vhW3sbDhbH9Cz0tuDiY8C3ctxq1tqvaCgkFb8cCA/edit?usp=sharing"",""บุรีรัมย์!L334"")"),118000)</f>
        <v>118000</v>
      </c>
      <c r="M439" s="170"/>
      <c r="N439" s="170">
        <f ca="1">IFERROR(__xludf.DUMMYFUNCTION("IMPORTRANGE(""https://docs.google.com/spreadsheets/d/1XL5vhW3sbDhbH9Cz0tuDiY8C3ctxq1tqvaCgkFb8cCA/edit?usp=sharing"",""บุรีรัมย์!M334"")"),46837.8)</f>
        <v>46837.8</v>
      </c>
      <c r="O439" s="170">
        <f t="shared" ca="1" si="114"/>
        <v>39.693050847457627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IFERROR(__xludf.DUMMYFUNCTION("IMPORTRANGE(""https://docs.google.com/spreadsheets/d/1XL5vhW3sbDhbH9Cz0tuDiY8C3ctxq1tqvaCgkFb8cCA/edit?usp=sharing"",""บุรีรัมย์!M335"")"),4267)</f>
        <v>4267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IFERROR(__xludf.DUMMYFUNCTION("IMPORTRANGE(""https://docs.google.com/spreadsheets/d/1XL5vhW3sbDhbH9Cz0tuDiY8C3ctxq1tqvaCgkFb8cCA/edit?usp=sharing"",""บุรีรัมย์!M338"")"),42570.8)</f>
        <v>42570.8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IFERROR(__xludf.DUMMYFUNCTION("IMPORTRANGE(""https://docs.google.com/spreadsheets/d/1XL5vhW3sbDhbH9Cz0tuDiY8C3ctxq1tqvaCgkFb8cCA/edit?usp=sharing"",""บุรีรัมย์!J342"")"),1)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IFERROR(__xludf.DUMMYFUNCTION("IMPORTRANGE(""https://docs.google.com/spreadsheets/d/1XL5vhW3sbDhbH9Cz0tuDiY8C3ctxq1tqvaCgkFb8cCA/edit?usp=sharing"",""บุรีรัมย์!J343"")"),1)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2">
        <f ca="1">IFERROR(__xludf.DUMMYFUNCTION("IMPORTRANGE(""https://docs.google.com/spreadsheets/d/1XL5vhW3sbDhbH9Cz0tuDiY8C3ctxq1tqvaCgkFb8cCA/edit?usp=sharing"",""บุรีรัมย์!J344"")"),20)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IFERROR(__xludf.DUMMYFUNCTION("IMPORTRANGE(""https://docs.google.com/spreadsheets/d/1XL5vhW3sbDhbH9Cz0tuDiY8C3ctxq1tqvaCgkFb8cCA/edit?usp=sharing"",""บุรีรัมย์!I345"")"),20)</f>
        <v>20</v>
      </c>
      <c r="J450" s="190">
        <f ca="1">IFERROR(__xludf.DUMMYFUNCTION("IMPORTRANGE(""https://docs.google.com/spreadsheets/d/1XL5vhW3sbDhbH9Cz0tuDiY8C3ctxq1tqvaCgkFb8cCA/edit?usp=sharing"",""บุรีรัมย์!J345"")"),20)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IFERROR(__xludf.DUMMYFUNCTION("IMPORTRANGE(""https://docs.google.com/spreadsheets/d/1XL5vhW3sbDhbH9Cz0tuDiY8C3ctxq1tqvaCgkFb8cCA/edit?usp=sharing"",""บุรีรัมย์!I346"")"),0)</f>
        <v>0</v>
      </c>
      <c r="J451" s="189">
        <f ca="1">IFERROR(__xludf.DUMMYFUNCTION("IMPORTRANGE(""https://docs.google.com/spreadsheets/d/1XL5vhW3sbDhbH9Cz0tuDiY8C3ctxq1tqvaCgkFb8cCA/edit?usp=sharing"",""บุรีรัมย์!J346"")"),0)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IFERROR(__xludf.DUMMYFUNCTION("IMPORTRANGE(""https://docs.google.com/spreadsheets/d/1XL5vhW3sbDhbH9Cz0tuDiY8C3ctxq1tqvaCgkFb8cCA/edit?usp=sharing"",""บุรีรัมย์!I347"")"),0)</f>
        <v>0</v>
      </c>
      <c r="J452" s="189">
        <f ca="1">IFERROR(__xludf.DUMMYFUNCTION("IMPORTRANGE(""https://docs.google.com/spreadsheets/d/1XL5vhW3sbDhbH9Cz0tuDiY8C3ctxq1tqvaCgkFb8cCA/edit?usp=sharing"",""บุรีรัมย์!J347"")"),0)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IFERROR(__xludf.DUMMYFUNCTION("IMPORTRANGE(""https://docs.google.com/spreadsheets/d/1XL5vhW3sbDhbH9Cz0tuDiY8C3ctxq1tqvaCgkFb8cCA/edit?usp=sharing"",""บุรีรัมย์!J348"")"),0)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IFERROR(__xludf.DUMMYFUNCTION("IMPORTRANGE(""https://docs.google.com/spreadsheets/d/1XL5vhW3sbDhbH9Cz0tuDiY8C3ctxq1tqvaCgkFb8cCA/edit?usp=sharing"",""บุรีรัมย์!J349"")"),0)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IFERROR(__xludf.DUMMYFUNCTION("IMPORTRANGE(""https://docs.google.com/spreadsheets/d/1XL5vhW3sbDhbH9Cz0tuDiY8C3ctxq1tqvaCgkFb8cCA/edit?usp=sharing"",""บุรีรัมย์!L350"")"),1347897)</f>
        <v>1347897</v>
      </c>
      <c r="M455" s="373"/>
      <c r="N455" s="373">
        <f ca="1">IFERROR(__xludf.DUMMYFUNCTION("IMPORTRANGE(""https://docs.google.com/spreadsheets/d/1XL5vhW3sbDhbH9Cz0tuDiY8C3ctxq1tqvaCgkFb8cCA/edit?usp=sharing"",""บุรีรัมย์!M350"")"),99127.07)</f>
        <v>99127.07</v>
      </c>
      <c r="O455" s="373">
        <f t="shared" ref="O455:O459" ca="1" si="116">+IF(L455&gt;0,N455*100/L455,0)</f>
        <v>7.3542021385907086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IFERROR(__xludf.DUMMYFUNCTION("IMPORTRANGE(""https://docs.google.com/spreadsheets/d/1XL5vhW3sbDhbH9Cz0tuDiY8C3ctxq1tqvaCgkFb8cCA/edit?usp=sharing"",""บุรีรัมย์!L351"")"),0)</f>
        <v>0</v>
      </c>
      <c r="M456" s="166"/>
      <c r="N456" s="170">
        <f ca="1">IFERROR(__xludf.DUMMYFUNCTION("IMPORTRANGE(""https://docs.google.com/spreadsheets/d/1XL5vhW3sbDhbH9Cz0tuDiY8C3ctxq1tqvaCgkFb8cCA/edit?usp=sharing"",""บุรีรัมย์!M351"")"),0)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IFERROR(__xludf.DUMMYFUNCTION("IMPORTRANGE(""https://docs.google.com/spreadsheets/d/1XL5vhW3sbDhbH9Cz0tuDiY8C3ctxq1tqvaCgkFb8cCA/edit?usp=sharing"",""บุรีรัมย์!L352"")"),1347897)</f>
        <v>1347897</v>
      </c>
      <c r="M457" s="167"/>
      <c r="N457" s="170">
        <f ca="1">IFERROR(__xludf.DUMMYFUNCTION("IMPORTRANGE(""https://docs.google.com/spreadsheets/d/1XL5vhW3sbDhbH9Cz0tuDiY8C3ctxq1tqvaCgkFb8cCA/edit?usp=sharing"",""บุรีรัมย์!M352"")"),99127.07)</f>
        <v>99127.07</v>
      </c>
      <c r="O457" s="170">
        <f t="shared" ca="1" si="116"/>
        <v>7.3542021385907086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IFERROR(__xludf.DUMMYFUNCTION("IMPORTRANGE(""https://docs.google.com/spreadsheets/d/1XL5vhW3sbDhbH9Cz0tuDiY8C3ctxq1tqvaCgkFb8cCA/edit?usp=sharing"",""บุรีรัมย์!L353"")"),0)</f>
        <v>0</v>
      </c>
      <c r="M458" s="170"/>
      <c r="N458" s="170">
        <f ca="1">IFERROR(__xludf.DUMMYFUNCTION("IMPORTRANGE(""https://docs.google.com/spreadsheets/d/1XL5vhW3sbDhbH9Cz0tuDiY8C3ctxq1tqvaCgkFb8cCA/edit?usp=sharing"",""บุรีรัมย์!M353"")"),0)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IFERROR(__xludf.DUMMYFUNCTION("IMPORTRANGE(""https://docs.google.com/spreadsheets/d/1XL5vhW3sbDhbH9Cz0tuDiY8C3ctxq1tqvaCgkFb8cCA/edit?usp=sharing"",""บุรีรัมย์!L354"")"),1347897)</f>
        <v>1347897</v>
      </c>
      <c r="M459" s="170"/>
      <c r="N459" s="170">
        <f ca="1">IFERROR(__xludf.DUMMYFUNCTION("IMPORTRANGE(""https://docs.google.com/spreadsheets/d/1XL5vhW3sbDhbH9Cz0tuDiY8C3ctxq1tqvaCgkFb8cCA/edit?usp=sharing"",""บุรีรัมย์!M354"")"),99127.07)</f>
        <v>99127.07</v>
      </c>
      <c r="O459" s="170">
        <f t="shared" ca="1" si="116"/>
        <v>7.3542021385907086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IFERROR(__xludf.DUMMYFUNCTION("IMPORTRANGE(""https://docs.google.com/spreadsheets/d/1XL5vhW3sbDhbH9Cz0tuDiY8C3ctxq1tqvaCgkFb8cCA/edit?usp=sharing"",""บุรีรัมย์!M355"")"),0)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IFERROR(__xludf.DUMMYFUNCTION("IMPORTRANGE(""https://docs.google.com/spreadsheets/d/1XL5vhW3sbDhbH9Cz0tuDiY8C3ctxq1tqvaCgkFb8cCA/edit?usp=sharing"",""บุรีรัมย์!M356"")"),0)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IFERROR(__xludf.DUMMYFUNCTION("IMPORTRANGE(""https://docs.google.com/spreadsheets/d/1XL5vhW3sbDhbH9Cz0tuDiY8C3ctxq1tqvaCgkFb8cCA/edit?usp=sharing"",""บุรีรัมย์!M357"")"),49833.32)</f>
        <v>49833.32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IFERROR(__xludf.DUMMYFUNCTION("IMPORTRANGE(""https://docs.google.com/spreadsheets/d/1XL5vhW3sbDhbH9Cz0tuDiY8C3ctxq1tqvaCgkFb8cCA/edit?usp=sharing"",""บุรีรัมย์!M358"")"),49293.75)</f>
        <v>49293.75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3">
        <f t="shared" ca="1" si="117"/>
        <v>100.00303748253448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IFERROR(__xludf.DUMMYFUNCTION("IMPORTRANGE(""https://docs.google.com/spreadsheets/d/1XL5vhW3sbDhbH9Cz0tuDiY8C3ctxq1tqvaCgkFb8cCA/edit?usp=sharing"",""บุรีรัมย์!I362"")"),0)</f>
        <v>0</v>
      </c>
      <c r="J467" s="190">
        <f ca="1">IFERROR(__xludf.DUMMYFUNCTION("IMPORTRANGE(""https://docs.google.com/spreadsheets/d/1XL5vhW3sbDhbH9Cz0tuDiY8C3ctxq1tqvaCgkFb8cCA/edit?usp=sharing"",""บุรีรัมย์!J362"")"),21664)</f>
        <v>21664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IFERROR(__xludf.DUMMYFUNCTION("IMPORTRANGE(""https://docs.google.com/spreadsheets/d/1XL5vhW3sbDhbH9Cz0tuDiY8C3ctxq1tqvaCgkFb8cCA/edit?usp=sharing"",""บุรีรัมย์!I363"")"),0)</f>
        <v>0</v>
      </c>
      <c r="J468" s="190">
        <f ca="1">IFERROR(__xludf.DUMMYFUNCTION("IMPORTRANGE(""https://docs.google.com/spreadsheets/d/1XL5vhW3sbDhbH9Cz0tuDiY8C3ctxq1tqvaCgkFb8cCA/edit?usp=sharing"",""บุรีรัมย์!J363"")"),4043)</f>
        <v>4043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IFERROR(__xludf.DUMMYFUNCTION("IMPORTRANGE(""https://docs.google.com/spreadsheets/d/1XL5vhW3sbDhbH9Cz0tuDiY8C3ctxq1tqvaCgkFb8cCA/edit?usp=sharing"",""บุรีรัมย์!I364"")"),0)</f>
        <v>0</v>
      </c>
      <c r="J469" s="190">
        <f ca="1">IFERROR(__xludf.DUMMYFUNCTION("IMPORTRANGE(""https://docs.google.com/spreadsheets/d/1XL5vhW3sbDhbH9Cz0tuDiY8C3ctxq1tqvaCgkFb8cCA/edit?usp=sharing"",""บุรีรัมย์!J364"")"),10349)</f>
        <v>10349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IFERROR(__xludf.DUMMYFUNCTION("IMPORTRANGE(""https://docs.google.com/spreadsheets/d/1XL5vhW3sbDhbH9Cz0tuDiY8C3ctxq1tqvaCgkFb8cCA/edit?usp=sharing"",""บุรีรัมย์!I365"")"),0)</f>
        <v>0</v>
      </c>
      <c r="J470" s="190">
        <f ca="1">IFERROR(__xludf.DUMMYFUNCTION("IMPORTRANGE(""https://docs.google.com/spreadsheets/d/1XL5vhW3sbDhbH9Cz0tuDiY8C3ctxq1tqvaCgkFb8cCA/edit?usp=sharing"",""บุรีรัมย์!J365"")"),946)</f>
        <v>946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IFERROR(__xludf.DUMMYFUNCTION("IMPORTRANGE(""https://docs.google.com/spreadsheets/d/1XL5vhW3sbDhbH9Cz0tuDiY8C3ctxq1tqvaCgkFb8cCA/edit?usp=sharing"",""บุรีรัมย์!I366"")"),0)</f>
        <v>0</v>
      </c>
      <c r="J471" s="190">
        <f ca="1">IFERROR(__xludf.DUMMYFUNCTION("IMPORTRANGE(""https://docs.google.com/spreadsheets/d/1XL5vhW3sbDhbH9Cz0tuDiY8C3ctxq1tqvaCgkFb8cCA/edit?usp=sharing"",""บุรีรัมย์!J366"")"),910)</f>
        <v>910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IFERROR(__xludf.DUMMYFUNCTION("IMPORTRANGE(""https://docs.google.com/spreadsheets/d/1XL5vhW3sbDhbH9Cz0tuDiY8C3ctxq1tqvaCgkFb8cCA/edit?usp=sharing"",""บุรีรัมย์!I367"")"),0)</f>
        <v>0</v>
      </c>
      <c r="J472" s="190">
        <f ca="1">IFERROR(__xludf.DUMMYFUNCTION("IMPORTRANGE(""https://docs.google.com/spreadsheets/d/1XL5vhW3sbDhbH9Cz0tuDiY8C3ctxq1tqvaCgkFb8cCA/edit?usp=sharing"",""บุรีรัมย์!J367"")"),115)</f>
        <v>115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IFERROR(__xludf.DUMMYFUNCTION("IMPORTRANGE(""https://docs.google.com/spreadsheets/d/1XL5vhW3sbDhbH9Cz0tuDiY8C3ctxq1tqvaCgkFb8cCA/edit?usp=sharing"",""บุรีรัมย์!I370"")"),0)</f>
        <v>0</v>
      </c>
      <c r="J475" s="190">
        <f ca="1">IFERROR(__xludf.DUMMYFUNCTION("IMPORTRANGE(""https://docs.google.com/spreadsheets/d/1XL5vhW3sbDhbH9Cz0tuDiY8C3ctxq1tqvaCgkFb8cCA/edit?usp=sharing"",""บุรีรัมย์!J370"")"),0)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IFERROR(__xludf.DUMMYFUNCTION("IMPORTRANGE(""https://docs.google.com/spreadsheets/d/1XL5vhW3sbDhbH9Cz0tuDiY8C3ctxq1tqvaCgkFb8cCA/edit?usp=sharing"",""บุรีรัมย์!I371"")"),0)</f>
        <v>0</v>
      </c>
      <c r="J476" s="190">
        <f ca="1">IFERROR(__xludf.DUMMYFUNCTION("IMPORTRANGE(""https://docs.google.com/spreadsheets/d/1XL5vhW3sbDhbH9Cz0tuDiY8C3ctxq1tqvaCgkFb8cCA/edit?usp=sharing"",""บุรีรัมย์!J371"")"),0)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IFERROR(__xludf.DUMMYFUNCTION("IMPORTRANGE(""https://docs.google.com/spreadsheets/d/1XL5vhW3sbDhbH9Cz0tuDiY8C3ctxq1tqvaCgkFb8cCA/edit?usp=sharing"",""บุรีรัมย์!I372"")"),0)</f>
        <v>0</v>
      </c>
      <c r="J477" s="190">
        <f ca="1">IFERROR(__xludf.DUMMYFUNCTION("IMPORTRANGE(""https://docs.google.com/spreadsheets/d/1XL5vhW3sbDhbH9Cz0tuDiY8C3ctxq1tqvaCgkFb8cCA/edit?usp=sharing"",""บุรีรัมย์!J372"")"),0)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IFERROR(__xludf.DUMMYFUNCTION("IMPORTRANGE(""https://docs.google.com/spreadsheets/d/1XL5vhW3sbDhbH9Cz0tuDiY8C3ctxq1tqvaCgkFb8cCA/edit?usp=sharing"",""บุรีรัมย์!I373"")"),0)</f>
        <v>0</v>
      </c>
      <c r="J478" s="190">
        <f ca="1">IFERROR(__xludf.DUMMYFUNCTION("IMPORTRANGE(""https://docs.google.com/spreadsheets/d/1XL5vhW3sbDhbH9Cz0tuDiY8C3ctxq1tqvaCgkFb8cCA/edit?usp=sharing"",""บุรีรัมย์!J373"")"),0)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IFERROR(__xludf.DUMMYFUNCTION("IMPORTRANGE(""https://docs.google.com/spreadsheets/d/1XL5vhW3sbDhbH9Cz0tuDiY8C3ctxq1tqvaCgkFb8cCA/edit?usp=sharing"",""บุรีรัมย์!I374"")"),0)</f>
        <v>0</v>
      </c>
      <c r="J479" s="190">
        <f ca="1">IFERROR(__xludf.DUMMYFUNCTION("IMPORTRANGE(""https://docs.google.com/spreadsheets/d/1XL5vhW3sbDhbH9Cz0tuDiY8C3ctxq1tqvaCgkFb8cCA/edit?usp=sharing"",""บุรีรัมย์!J374"")"),0)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IFERROR(__xludf.DUMMYFUNCTION("IMPORTRANGE(""https://docs.google.com/spreadsheets/d/1XL5vhW3sbDhbH9Cz0tuDiY8C3ctxq1tqvaCgkFb8cCA/edit?usp=sharing"",""บุรีรัมย์!I375"")"),0)</f>
        <v>0</v>
      </c>
      <c r="J480" s="190">
        <f ca="1">IFERROR(__xludf.DUMMYFUNCTION("IMPORTRANGE(""https://docs.google.com/spreadsheets/d/1XL5vhW3sbDhbH9Cz0tuDiY8C3ctxq1tqvaCgkFb8cCA/edit?usp=sharing"",""บุรีรัมย์!J375"")"),0)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IFERROR(__xludf.DUMMYFUNCTION("IMPORTRANGE(""https://docs.google.com/spreadsheets/d/1XL5vhW3sbDhbH9Cz0tuDiY8C3ctxq1tqvaCgkFb8cCA/edit?usp=sharing"",""บุรีรัมย์!I378"")"),0)</f>
        <v>0</v>
      </c>
      <c r="J483" s="190">
        <f ca="1">IFERROR(__xludf.DUMMYFUNCTION("IMPORTRANGE(""https://docs.google.com/spreadsheets/d/1XL5vhW3sbDhbH9Cz0tuDiY8C3ctxq1tqvaCgkFb8cCA/edit?usp=sharing"",""บุรีรัมย์!J378"")"),0)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IFERROR(__xludf.DUMMYFUNCTION("IMPORTRANGE(""https://docs.google.com/spreadsheets/d/1XL5vhW3sbDhbH9Cz0tuDiY8C3ctxq1tqvaCgkFb8cCA/edit?usp=sharing"",""บุรีรัมย์!I379"")"),0)</f>
        <v>0</v>
      </c>
      <c r="J484" s="190">
        <f ca="1">IFERROR(__xludf.DUMMYFUNCTION("IMPORTRANGE(""https://docs.google.com/spreadsheets/d/1XL5vhW3sbDhbH9Cz0tuDiY8C3ctxq1tqvaCgkFb8cCA/edit?usp=sharing"",""บุรีรัมย์!J379"")"),0)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IFERROR(__xludf.DUMMYFUNCTION("IMPORTRANGE(""https://docs.google.com/spreadsheets/d/1XL5vhW3sbDhbH9Cz0tuDiY8C3ctxq1tqvaCgkFb8cCA/edit?usp=sharing"",""บุรีรัมย์!I380"")"),0)</f>
        <v>0</v>
      </c>
      <c r="J485" s="190">
        <f ca="1">IFERROR(__xludf.DUMMYFUNCTION("IMPORTRANGE(""https://docs.google.com/spreadsheets/d/1XL5vhW3sbDhbH9Cz0tuDiY8C3ctxq1tqvaCgkFb8cCA/edit?usp=sharing"",""บุรีรัมย์!J380"")"),0)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IFERROR(__xludf.DUMMYFUNCTION("IMPORTRANGE(""https://docs.google.com/spreadsheets/d/1XL5vhW3sbDhbH9Cz0tuDiY8C3ctxq1tqvaCgkFb8cCA/edit?usp=sharing"",""บุรีรัมย์!I381"")"),0)</f>
        <v>0</v>
      </c>
      <c r="J486" s="190">
        <f ca="1">IFERROR(__xludf.DUMMYFUNCTION("IMPORTRANGE(""https://docs.google.com/spreadsheets/d/1XL5vhW3sbDhbH9Cz0tuDiY8C3ctxq1tqvaCgkFb8cCA/edit?usp=sharing"",""บุรีรัมย์!J381"")"),0)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IFERROR(__xludf.DUMMYFUNCTION("IMPORTRANGE(""https://docs.google.com/spreadsheets/d/1XL5vhW3sbDhbH9Cz0tuDiY8C3ctxq1tqvaCgkFb8cCA/edit?usp=sharing"",""บุรีรัมย์!I384"")"),0)</f>
        <v>0</v>
      </c>
      <c r="J489" s="190">
        <f ca="1">IFERROR(__xludf.DUMMYFUNCTION("IMPORTRANGE(""https://docs.google.com/spreadsheets/d/1XL5vhW3sbDhbH9Cz0tuDiY8C3ctxq1tqvaCgkFb8cCA/edit?usp=sharing"",""บุรีรัมย์!J384"")"),0)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IFERROR(__xludf.DUMMYFUNCTION("IMPORTRANGE(""https://docs.google.com/spreadsheets/d/1XL5vhW3sbDhbH9Cz0tuDiY8C3ctxq1tqvaCgkFb8cCA/edit?usp=sharing"",""บุรีรัมย์!I385"")"),0)</f>
        <v>0</v>
      </c>
      <c r="J490" s="190">
        <f ca="1">IFERROR(__xludf.DUMMYFUNCTION("IMPORTRANGE(""https://docs.google.com/spreadsheets/d/1XL5vhW3sbDhbH9Cz0tuDiY8C3ctxq1tqvaCgkFb8cCA/edit?usp=sharing"",""บุรีรัมย์!J385"")"),0)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IFERROR(__xludf.DUMMYFUNCTION("IMPORTRANGE(""https://docs.google.com/spreadsheets/d/1XL5vhW3sbDhbH9Cz0tuDiY8C3ctxq1tqvaCgkFb8cCA/edit?usp=sharing"",""บุรีรัมย์!I386"")"),0)</f>
        <v>0</v>
      </c>
      <c r="J491" s="190">
        <f ca="1">IFERROR(__xludf.DUMMYFUNCTION("IMPORTRANGE(""https://docs.google.com/spreadsheets/d/1XL5vhW3sbDhbH9Cz0tuDiY8C3ctxq1tqvaCgkFb8cCA/edit?usp=sharing"",""บุรีรัมย์!J386"")"),0)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IFERROR(__xludf.DUMMYFUNCTION("IMPORTRANGE(""https://docs.google.com/spreadsheets/d/1XL5vhW3sbDhbH9Cz0tuDiY8C3ctxq1tqvaCgkFb8cCA/edit?usp=sharing"",""บุรีรัมย์!I387"")"),0)</f>
        <v>0</v>
      </c>
      <c r="J492" s="190">
        <f ca="1">IFERROR(__xludf.DUMMYFUNCTION("IMPORTRANGE(""https://docs.google.com/spreadsheets/d/1XL5vhW3sbDhbH9Cz0tuDiY8C3ctxq1tqvaCgkFb8cCA/edit?usp=sharing"",""บุรีรัมย์!J387"")"),0)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IFERROR(__xludf.DUMMYFUNCTION("IMPORTRANGE(""https://docs.google.com/spreadsheets/d/1XL5vhW3sbDhbH9Cz0tuDiY8C3ctxq1tqvaCgkFb8cCA/edit?usp=sharing"",""บุรีรัมย์!I388"")"),0)</f>
        <v>0</v>
      </c>
      <c r="J493" s="190">
        <f ca="1">IFERROR(__xludf.DUMMYFUNCTION("IMPORTRANGE(""https://docs.google.com/spreadsheets/d/1XL5vhW3sbDhbH9Cz0tuDiY8C3ctxq1tqvaCgkFb8cCA/edit?usp=sharing"",""บุรีรัมย์!J388"")"),0)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IFERROR(__xludf.DUMMYFUNCTION("IMPORTRANGE(""https://docs.google.com/spreadsheets/d/1XL5vhW3sbDhbH9Cz0tuDiY8C3ctxq1tqvaCgkFb8cCA/edit?usp=sharing"",""บุรีรัมย์!J392"")"),2766)</f>
        <v>2766</v>
      </c>
      <c r="K497" s="444">
        <f t="shared" ca="1" si="117"/>
        <v>9.3765890369165064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IFERROR(__xludf.DUMMYFUNCTION("IMPORTRANGE(""https://docs.google.com/spreadsheets/d/1XL5vhW3sbDhbH9Cz0tuDiY8C3ctxq1tqvaCgkFb8cCA/edit?usp=sharing"",""บุรีรัมย์!J393"")"),2766)</f>
        <v>2766</v>
      </c>
      <c r="K498" s="165">
        <f t="shared" ca="1" si="117"/>
        <v>9.3765890369165064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IFERROR(__xludf.DUMMYFUNCTION("IMPORTRANGE(""https://docs.google.com/spreadsheets/d/1XL5vhW3sbDhbH9Cz0tuDiY8C3ctxq1tqvaCgkFb8cCA/edit?usp=sharing"",""บุรีรัมย์!J394"")"),351)</f>
        <v>351</v>
      </c>
      <c r="K499" s="203">
        <f t="shared" ca="1" si="117"/>
        <v>11.634073583029499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IFERROR(__xludf.DUMMYFUNCTION("IMPORTRANGE(""https://docs.google.com/spreadsheets/d/1XL5vhW3sbDhbH9Cz0tuDiY8C3ctxq1tqvaCgkFb8cCA/edit?usp=sharing"",""บุรีรัมย์!I395"")"),0)</f>
        <v>0</v>
      </c>
      <c r="J500" s="164">
        <f ca="1">IFERROR(__xludf.DUMMYFUNCTION("IMPORTRANGE(""https://docs.google.com/spreadsheets/d/1XL5vhW3sbDhbH9Cz0tuDiY8C3ctxq1tqvaCgkFb8cCA/edit?usp=sharing"",""บุรีรัมย์!J395"")"),2664)</f>
        <v>2664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IFERROR(__xludf.DUMMYFUNCTION("IMPORTRANGE(""https://docs.google.com/spreadsheets/d/1XL5vhW3sbDhbH9Cz0tuDiY8C3ctxq1tqvaCgkFb8cCA/edit?usp=sharing"",""บุรีรัมย์!I396"")"),0)</f>
        <v>0</v>
      </c>
      <c r="J501" s="164">
        <f ca="1">IFERROR(__xludf.DUMMYFUNCTION("IMPORTRANGE(""https://docs.google.com/spreadsheets/d/1XL5vhW3sbDhbH9Cz0tuDiY8C3ctxq1tqvaCgkFb8cCA/edit?usp=sharing"",""บุรีรัมย์!J396"")"),336)</f>
        <v>336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IFERROR(__xludf.DUMMYFUNCTION("IMPORTRANGE(""https://docs.google.com/spreadsheets/d/1XL5vhW3sbDhbH9Cz0tuDiY8C3ctxq1tqvaCgkFb8cCA/edit?usp=sharing"",""บุรีรัมย์!I397"")"),0)</f>
        <v>0</v>
      </c>
      <c r="J502" s="190">
        <f ca="1">IFERROR(__xludf.DUMMYFUNCTION("IMPORTRANGE(""https://docs.google.com/spreadsheets/d/1XL5vhW3sbDhbH9Cz0tuDiY8C3ctxq1tqvaCgkFb8cCA/edit?usp=sharing"",""บุรีรัมย์!J397"")"),2652)</f>
        <v>2652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IFERROR(__xludf.DUMMYFUNCTION("IMPORTRANGE(""https://docs.google.com/spreadsheets/d/1XL5vhW3sbDhbH9Cz0tuDiY8C3ctxq1tqvaCgkFb8cCA/edit?usp=sharing"",""บุรีรัมย์!I398"")"),0)</f>
        <v>0</v>
      </c>
      <c r="J503" s="199">
        <f ca="1">IFERROR(__xludf.DUMMYFUNCTION("IMPORTRANGE(""https://docs.google.com/spreadsheets/d/1XL5vhW3sbDhbH9Cz0tuDiY8C3ctxq1tqvaCgkFb8cCA/edit?usp=sharing"",""บุรีรัมย์!J398"")"),333)</f>
        <v>333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IFERROR(__xludf.DUMMYFUNCTION("IMPORTRANGE(""https://docs.google.com/spreadsheets/d/1XL5vhW3sbDhbH9Cz0tuDiY8C3ctxq1tqvaCgkFb8cCA/edit?usp=sharing"",""บุรีรัมย์!I399"")"),0)</f>
        <v>0</v>
      </c>
      <c r="J504" s="190">
        <f ca="1">IFERROR(__xludf.DUMMYFUNCTION("IMPORTRANGE(""https://docs.google.com/spreadsheets/d/1XL5vhW3sbDhbH9Cz0tuDiY8C3ctxq1tqvaCgkFb8cCA/edit?usp=sharing"",""บุรีรัมย์!J399"")"),12)</f>
        <v>12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IFERROR(__xludf.DUMMYFUNCTION("IMPORTRANGE(""https://docs.google.com/spreadsheets/d/1XL5vhW3sbDhbH9Cz0tuDiY8C3ctxq1tqvaCgkFb8cCA/edit?usp=sharing"",""บุรีรัมย์!I400"")"),0)</f>
        <v>0</v>
      </c>
      <c r="J505" s="199">
        <f ca="1">IFERROR(__xludf.DUMMYFUNCTION("IMPORTRANGE(""https://docs.google.com/spreadsheets/d/1XL5vhW3sbDhbH9Cz0tuDiY8C3ctxq1tqvaCgkFb8cCA/edit?usp=sharing"",""บุรีรัมย์!J400"")"),3)</f>
        <v>3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IFERROR(__xludf.DUMMYFUNCTION("IMPORTRANGE(""https://docs.google.com/spreadsheets/d/1XL5vhW3sbDhbH9Cz0tuDiY8C3ctxq1tqvaCgkFb8cCA/edit?usp=sharing"",""บุรีรัมย์!I401"")"),0)</f>
        <v>0</v>
      </c>
      <c r="J506" s="190">
        <f ca="1">IFERROR(__xludf.DUMMYFUNCTION("IMPORTRANGE(""https://docs.google.com/spreadsheets/d/1XL5vhW3sbDhbH9Cz0tuDiY8C3ctxq1tqvaCgkFb8cCA/edit?usp=sharing"",""บุรีรัมย์!J401"")"),0)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IFERROR(__xludf.DUMMYFUNCTION("IMPORTRANGE(""https://docs.google.com/spreadsheets/d/1XL5vhW3sbDhbH9Cz0tuDiY8C3ctxq1tqvaCgkFb8cCA/edit?usp=sharing"",""บุรีรัมย์!I402"")"),0)</f>
        <v>0</v>
      </c>
      <c r="J507" s="199">
        <f ca="1">IFERROR(__xludf.DUMMYFUNCTION("IMPORTRANGE(""https://docs.google.com/spreadsheets/d/1XL5vhW3sbDhbH9Cz0tuDiY8C3ctxq1tqvaCgkFb8cCA/edit?usp=sharing"",""บุรีรัมย์!J402"")"),0)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IFERROR(__xludf.DUMMYFUNCTION("IMPORTRANGE(""https://docs.google.com/spreadsheets/d/1XL5vhW3sbDhbH9Cz0tuDiY8C3ctxq1tqvaCgkFb8cCA/edit?usp=sharing"",""บุรีรัมย์!I403"")"),0)</f>
        <v>0</v>
      </c>
      <c r="J508" s="164">
        <f ca="1">IFERROR(__xludf.DUMMYFUNCTION("IMPORTRANGE(""https://docs.google.com/spreadsheets/d/1XL5vhW3sbDhbH9Cz0tuDiY8C3ctxq1tqvaCgkFb8cCA/edit?usp=sharing"",""บุรีรัมย์!J403"")"),102)</f>
        <v>102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IFERROR(__xludf.DUMMYFUNCTION("IMPORTRANGE(""https://docs.google.com/spreadsheets/d/1XL5vhW3sbDhbH9Cz0tuDiY8C3ctxq1tqvaCgkFb8cCA/edit?usp=sharing"",""บุรีรัมย์!I404"")"),0)</f>
        <v>0</v>
      </c>
      <c r="J509" s="164">
        <f ca="1">IFERROR(__xludf.DUMMYFUNCTION("IMPORTRANGE(""https://docs.google.com/spreadsheets/d/1XL5vhW3sbDhbH9Cz0tuDiY8C3ctxq1tqvaCgkFb8cCA/edit?usp=sharing"",""บุรีรัมย์!J404"")"),15)</f>
        <v>15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IFERROR(__xludf.DUMMYFUNCTION("IMPORTRANGE(""https://docs.google.com/spreadsheets/d/1XL5vhW3sbDhbH9Cz0tuDiY8C3ctxq1tqvaCgkFb8cCA/edit?usp=sharing"",""บุรีรัมย์!I405"")"),0)</f>
        <v>0</v>
      </c>
      <c r="J510" s="199">
        <f ca="1">IFERROR(__xludf.DUMMYFUNCTION("IMPORTRANGE(""https://docs.google.com/spreadsheets/d/1XL5vhW3sbDhbH9Cz0tuDiY8C3ctxq1tqvaCgkFb8cCA/edit?usp=sharing"",""บุรีรัมย์!J405"")"),102)</f>
        <v>102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IFERROR(__xludf.DUMMYFUNCTION("IMPORTRANGE(""https://docs.google.com/spreadsheets/d/1XL5vhW3sbDhbH9Cz0tuDiY8C3ctxq1tqvaCgkFb8cCA/edit?usp=sharing"",""บุรีรัมย์!I406"")"),0)</f>
        <v>0</v>
      </c>
      <c r="J511" s="199">
        <f ca="1">IFERROR(__xludf.DUMMYFUNCTION("IMPORTRANGE(""https://docs.google.com/spreadsheets/d/1XL5vhW3sbDhbH9Cz0tuDiY8C3ctxq1tqvaCgkFb8cCA/edit?usp=sharing"",""บุรีรัมย์!J406"")"),15)</f>
        <v>15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IFERROR(__xludf.DUMMYFUNCTION("IMPORTRANGE(""https://docs.google.com/spreadsheets/d/1XL5vhW3sbDhbH9Cz0tuDiY8C3ctxq1tqvaCgkFb8cCA/edit?usp=sharing"",""บุรีรัมย์!I407"")"),0)</f>
        <v>0</v>
      </c>
      <c r="J512" s="199">
        <f ca="1">IFERROR(__xludf.DUMMYFUNCTION("IMPORTRANGE(""https://docs.google.com/spreadsheets/d/1XL5vhW3sbDhbH9Cz0tuDiY8C3ctxq1tqvaCgkFb8cCA/edit?usp=sharing"",""บุรีรัมย์!J407"")"),0)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IFERROR(__xludf.DUMMYFUNCTION("IMPORTRANGE(""https://docs.google.com/spreadsheets/d/1XL5vhW3sbDhbH9Cz0tuDiY8C3ctxq1tqvaCgkFb8cCA/edit?usp=sharing"",""บุรีรัมย์!I408"")"),0)</f>
        <v>0</v>
      </c>
      <c r="J513" s="199">
        <f ca="1">IFERROR(__xludf.DUMMYFUNCTION("IMPORTRANGE(""https://docs.google.com/spreadsheets/d/1XL5vhW3sbDhbH9Cz0tuDiY8C3ctxq1tqvaCgkFb8cCA/edit?usp=sharing"",""บุรีรัมย์!J408"")"),0)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IFERROR(__xludf.DUMMYFUNCTION("IMPORTRANGE(""https://docs.google.com/spreadsheets/d/1XL5vhW3sbDhbH9Cz0tuDiY8C3ctxq1tqvaCgkFb8cCA/edit?usp=sharing"",""บุรีรัมย์!I409"")"),0)</f>
        <v>0</v>
      </c>
      <c r="J514" s="199">
        <f ca="1">IFERROR(__xludf.DUMMYFUNCTION("IMPORTRANGE(""https://docs.google.com/spreadsheets/d/1XL5vhW3sbDhbH9Cz0tuDiY8C3ctxq1tqvaCgkFb8cCA/edit?usp=sharing"",""บุรีรัมย์!J409"")"),0)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IFERROR(__xludf.DUMMYFUNCTION("IMPORTRANGE(""https://docs.google.com/spreadsheets/d/1XL5vhW3sbDhbH9Cz0tuDiY8C3ctxq1tqvaCgkFb8cCA/edit?usp=sharing"",""บุรีรัมย์!I410"")"),0)</f>
        <v>0</v>
      </c>
      <c r="J515" s="199">
        <f ca="1">IFERROR(__xludf.DUMMYFUNCTION("IMPORTRANGE(""https://docs.google.com/spreadsheets/d/1XL5vhW3sbDhbH9Cz0tuDiY8C3ctxq1tqvaCgkFb8cCA/edit?usp=sharing"",""บุรีรัมย์!J410"")"),0)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IFERROR(__xludf.DUMMYFUNCTION("IMPORTRANGE(""https://docs.google.com/spreadsheets/d/1XL5vhW3sbDhbH9Cz0tuDiY8C3ctxq1tqvaCgkFb8cCA/edit?usp=sharing"",""บุรีรัมย์!I412"")"),0)</f>
        <v>0</v>
      </c>
      <c r="J517" s="284">
        <f ca="1">IFERROR(__xludf.DUMMYFUNCTION("IMPORTRANGE(""https://docs.google.com/spreadsheets/d/1XL5vhW3sbDhbH9Cz0tuDiY8C3ctxq1tqvaCgkFb8cCA/edit?usp=sharing"",""บุรีรัมย์!J412"")"),0)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IFERROR(__xludf.DUMMYFUNCTION("IMPORTRANGE(""https://docs.google.com/spreadsheets/d/1XL5vhW3sbDhbH9Cz0tuDiY8C3ctxq1tqvaCgkFb8cCA/edit?usp=sharing"",""บุรีรัมย์!I413"")"),0)</f>
        <v>0</v>
      </c>
      <c r="J518" s="284">
        <f ca="1">IFERROR(__xludf.DUMMYFUNCTION("IMPORTRANGE(""https://docs.google.com/spreadsheets/d/1XL5vhW3sbDhbH9Cz0tuDiY8C3ctxq1tqvaCgkFb8cCA/edit?usp=sharing"",""บุรีรัมย์!J413"")"),0)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IFERROR(__xludf.DUMMYFUNCTION("IMPORTRANGE(""https://docs.google.com/spreadsheets/d/1XL5vhW3sbDhbH9Cz0tuDiY8C3ctxq1tqvaCgkFb8cCA/edit?usp=sharing"",""บุรีรัมย์!I414"")"),0)</f>
        <v>0</v>
      </c>
      <c r="J519" s="189">
        <f ca="1">IFERROR(__xludf.DUMMYFUNCTION("IMPORTRANGE(""https://docs.google.com/spreadsheets/d/1XL5vhW3sbDhbH9Cz0tuDiY8C3ctxq1tqvaCgkFb8cCA/edit?usp=sharing"",""บุรีรัมย์!J414"")"),0)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IFERROR(__xludf.DUMMYFUNCTION("IMPORTRANGE(""https://docs.google.com/spreadsheets/d/1XL5vhW3sbDhbH9Cz0tuDiY8C3ctxq1tqvaCgkFb8cCA/edit?usp=sharing"",""บุรีรัมย์!I415"")"),0)</f>
        <v>0</v>
      </c>
      <c r="J520" s="189">
        <f ca="1">IFERROR(__xludf.DUMMYFUNCTION("IMPORTRANGE(""https://docs.google.com/spreadsheets/d/1XL5vhW3sbDhbH9Cz0tuDiY8C3ctxq1tqvaCgkFb8cCA/edit?usp=sharing"",""บุรีรัมย์!J415"")"),0)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IFERROR(__xludf.DUMMYFUNCTION("IMPORTRANGE(""https://docs.google.com/spreadsheets/d/1XL5vhW3sbDhbH9Cz0tuDiY8C3ctxq1tqvaCgkFb8cCA/edit?usp=sharing"",""บุรีรัมย์!I416"")"),0)</f>
        <v>0</v>
      </c>
      <c r="J521" s="189">
        <f ca="1">IFERROR(__xludf.DUMMYFUNCTION("IMPORTRANGE(""https://docs.google.com/spreadsheets/d/1XL5vhW3sbDhbH9Cz0tuDiY8C3ctxq1tqvaCgkFb8cCA/edit?usp=sharing"",""บุรีรัมย์!J416"")"),0)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IFERROR(__xludf.DUMMYFUNCTION("IMPORTRANGE(""https://docs.google.com/spreadsheets/d/1XL5vhW3sbDhbH9Cz0tuDiY8C3ctxq1tqvaCgkFb8cCA/edit?usp=sharing"",""บุรีรัมย์!I417"")"),0)</f>
        <v>0</v>
      </c>
      <c r="J522" s="189">
        <f ca="1">IFERROR(__xludf.DUMMYFUNCTION("IMPORTRANGE(""https://docs.google.com/spreadsheets/d/1XL5vhW3sbDhbH9Cz0tuDiY8C3ctxq1tqvaCgkFb8cCA/edit?usp=sharing"",""บุรีรัมย์!J417"")"),0)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IFERROR(__xludf.DUMMYFUNCTION("IMPORTRANGE(""https://docs.google.com/spreadsheets/d/1XL5vhW3sbDhbH9Cz0tuDiY8C3ctxq1tqvaCgkFb8cCA/edit?usp=sharing"",""บุรีรัมย์!I418"")"),0)</f>
        <v>0</v>
      </c>
      <c r="J523" s="189">
        <f ca="1">IFERROR(__xludf.DUMMYFUNCTION("IMPORTRANGE(""https://docs.google.com/spreadsheets/d/1XL5vhW3sbDhbH9Cz0tuDiY8C3ctxq1tqvaCgkFb8cCA/edit?usp=sharing"",""บุรีรัมย์!J418"")"),0)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IFERROR(__xludf.DUMMYFUNCTION("IMPORTRANGE(""https://docs.google.com/spreadsheets/d/1XL5vhW3sbDhbH9Cz0tuDiY8C3ctxq1tqvaCgkFb8cCA/edit?usp=sharing"",""บุรีรัมย์!I419"")"),0)</f>
        <v>0</v>
      </c>
      <c r="J524" s="189">
        <f ca="1">IFERROR(__xludf.DUMMYFUNCTION("IMPORTRANGE(""https://docs.google.com/spreadsheets/d/1XL5vhW3sbDhbH9Cz0tuDiY8C3ctxq1tqvaCgkFb8cCA/edit?usp=sharing"",""บุรีรัมย์!J419"")"),0)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IFERROR(__xludf.DUMMYFUNCTION("IMPORTRANGE(""https://docs.google.com/spreadsheets/d/1XL5vhW3sbDhbH9Cz0tuDiY8C3ctxq1tqvaCgkFb8cCA/edit?usp=sharing"",""บุรีรัมย์!I420"")"),0)</f>
        <v>0</v>
      </c>
      <c r="J525" s="284">
        <f ca="1">IFERROR(__xludf.DUMMYFUNCTION("IMPORTRANGE(""https://docs.google.com/spreadsheets/d/1XL5vhW3sbDhbH9Cz0tuDiY8C3ctxq1tqvaCgkFb8cCA/edit?usp=sharing"",""บุรีรัมย์!J420"")"),0)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IFERROR(__xludf.DUMMYFUNCTION("IMPORTRANGE(""https://docs.google.com/spreadsheets/d/1XL5vhW3sbDhbH9Cz0tuDiY8C3ctxq1tqvaCgkFb8cCA/edit?usp=sharing"",""บุรีรัมย์!I421"")"),0)</f>
        <v>0</v>
      </c>
      <c r="J526" s="284">
        <f ca="1">IFERROR(__xludf.DUMMYFUNCTION("IMPORTRANGE(""https://docs.google.com/spreadsheets/d/1XL5vhW3sbDhbH9Cz0tuDiY8C3ctxq1tqvaCgkFb8cCA/edit?usp=sharing"",""บุรีรัมย์!J421"")"),0)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IFERROR(__xludf.DUMMYFUNCTION("IMPORTRANGE(""https://docs.google.com/spreadsheets/d/1XL5vhW3sbDhbH9Cz0tuDiY8C3ctxq1tqvaCgkFb8cCA/edit?usp=sharing"",""บุรีรัมย์!I422"")"),0)</f>
        <v>0</v>
      </c>
      <c r="J527" s="199">
        <f ca="1">IFERROR(__xludf.DUMMYFUNCTION("IMPORTRANGE(""https://docs.google.com/spreadsheets/d/1XL5vhW3sbDhbH9Cz0tuDiY8C3ctxq1tqvaCgkFb8cCA/edit?usp=sharing"",""บุรีรัมย์!J422"")"),0)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IFERROR(__xludf.DUMMYFUNCTION("IMPORTRANGE(""https://docs.google.com/spreadsheets/d/1XL5vhW3sbDhbH9Cz0tuDiY8C3ctxq1tqvaCgkFb8cCA/edit?usp=sharing"",""บุรีรัมย์!I423"")"),0)</f>
        <v>0</v>
      </c>
      <c r="J528" s="199">
        <f ca="1">IFERROR(__xludf.DUMMYFUNCTION("IMPORTRANGE(""https://docs.google.com/spreadsheets/d/1XL5vhW3sbDhbH9Cz0tuDiY8C3ctxq1tqvaCgkFb8cCA/edit?usp=sharing"",""บุรีรัมย์!J423"")"),0)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IFERROR(__xludf.DUMMYFUNCTION("IMPORTRANGE(""https://docs.google.com/spreadsheets/d/1XL5vhW3sbDhbH9Cz0tuDiY8C3ctxq1tqvaCgkFb8cCA/edit?usp=sharing"",""บุรีรัมย์!I424"")"),0)</f>
        <v>0</v>
      </c>
      <c r="J529" s="199">
        <f ca="1">IFERROR(__xludf.DUMMYFUNCTION("IMPORTRANGE(""https://docs.google.com/spreadsheets/d/1XL5vhW3sbDhbH9Cz0tuDiY8C3ctxq1tqvaCgkFb8cCA/edit?usp=sharing"",""บุรีรัมย์!J424"")"),0)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IFERROR(__xludf.DUMMYFUNCTION("IMPORTRANGE(""https://docs.google.com/spreadsheets/d/1XL5vhW3sbDhbH9Cz0tuDiY8C3ctxq1tqvaCgkFb8cCA/edit?usp=sharing"",""บุรีรัมย์!I425"")"),0)</f>
        <v>0</v>
      </c>
      <c r="J530" s="199">
        <f ca="1">IFERROR(__xludf.DUMMYFUNCTION("IMPORTRANGE(""https://docs.google.com/spreadsheets/d/1XL5vhW3sbDhbH9Cz0tuDiY8C3ctxq1tqvaCgkFb8cCA/edit?usp=sharing"",""บุรีรัมย์!J425"")"),0)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IFERROR(__xludf.DUMMYFUNCTION("IMPORTRANGE(""https://docs.google.com/spreadsheets/d/1XL5vhW3sbDhbH9Cz0tuDiY8C3ctxq1tqvaCgkFb8cCA/edit?usp=sharing"",""บุรีรัมย์!I426"")"),0)</f>
        <v>0</v>
      </c>
      <c r="J531" s="199">
        <f ca="1">IFERROR(__xludf.DUMMYFUNCTION("IMPORTRANGE(""https://docs.google.com/spreadsheets/d/1XL5vhW3sbDhbH9Cz0tuDiY8C3ctxq1tqvaCgkFb8cCA/edit?usp=sharing"",""บุรีรัมย์!J426"")"),0)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IFERROR(__xludf.DUMMYFUNCTION("IMPORTRANGE(""https://docs.google.com/spreadsheets/d/1XL5vhW3sbDhbH9Cz0tuDiY8C3ctxq1tqvaCgkFb8cCA/edit?usp=sharing"",""บุรีรัมย์!L429"")"),0)</f>
        <v>0</v>
      </c>
      <c r="M534" s="166"/>
      <c r="N534" s="170">
        <f ca="1">IFERROR(__xludf.DUMMYFUNCTION("IMPORTRANGE(""https://docs.google.com/spreadsheets/d/1XL5vhW3sbDhbH9Cz0tuDiY8C3ctxq1tqvaCgkFb8cCA/edit?usp=sharing"",""บุรีรัมย์!M429"")"),0)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IFERROR(__xludf.DUMMYFUNCTION("IMPORTRANGE(""https://docs.google.com/spreadsheets/d/1XL5vhW3sbDhbH9Cz0tuDiY8C3ctxq1tqvaCgkFb8cCA/edit?usp=sharing"",""บุรีรัมย์!L430"")"),34340)</f>
        <v>34340</v>
      </c>
      <c r="M535" s="167"/>
      <c r="N535" s="170">
        <f ca="1">IFERROR(__xludf.DUMMYFUNCTION("IMPORTRANGE(""https://docs.google.com/spreadsheets/d/1XL5vhW3sbDhbH9Cz0tuDiY8C3ctxq1tqvaCgkFb8cCA/edit?usp=sharing"",""บุรีรัมย์!M430"")"),20300)</f>
        <v>20300</v>
      </c>
      <c r="O535" s="170">
        <f t="shared" ca="1" si="118"/>
        <v>59.114735002912056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IFERROR(__xludf.DUMMYFUNCTION("IMPORTRANGE(""https://docs.google.com/spreadsheets/d/1XL5vhW3sbDhbH9Cz0tuDiY8C3ctxq1tqvaCgkFb8cCA/edit?usp=sharing"",""บุรีรัมย์!L431"")"),0)</f>
        <v>0</v>
      </c>
      <c r="M536" s="170"/>
      <c r="N536" s="170">
        <f ca="1">IFERROR(__xludf.DUMMYFUNCTION("IMPORTRANGE(""https://docs.google.com/spreadsheets/d/1XL5vhW3sbDhbH9Cz0tuDiY8C3ctxq1tqvaCgkFb8cCA/edit?usp=sharing"",""บุรีรัมย์!M431"")"),0)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IFERROR(__xludf.DUMMYFUNCTION("IMPORTRANGE(""https://docs.google.com/spreadsheets/d/1XL5vhW3sbDhbH9Cz0tuDiY8C3ctxq1tqvaCgkFb8cCA/edit?usp=sharing"",""บุรีรัมย์!L432"")"),34340)</f>
        <v>34340</v>
      </c>
      <c r="M537" s="170"/>
      <c r="N537" s="170">
        <f ca="1">IFERROR(__xludf.DUMMYFUNCTION("IMPORTRANGE(""https://docs.google.com/spreadsheets/d/1XL5vhW3sbDhbH9Cz0tuDiY8C3ctxq1tqvaCgkFb8cCA/edit?usp=sharing"",""บุรีรัมย์!M432"")"),20300)</f>
        <v>20300</v>
      </c>
      <c r="O537" s="170">
        <f t="shared" ca="1" si="118"/>
        <v>59.114735002912056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IFERROR(__xludf.DUMMYFUNCTION("IMPORTRANGE(""https://docs.google.com/spreadsheets/d/1XL5vhW3sbDhbH9Cz0tuDiY8C3ctxq1tqvaCgkFb8cCA/edit?usp=sharing"",""บุรีรัมย์!M433"")"),6780)</f>
        <v>6780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IFERROR(__xludf.DUMMYFUNCTION("IMPORTRANGE(""https://docs.google.com/spreadsheets/d/1XL5vhW3sbDhbH9Cz0tuDiY8C3ctxq1tqvaCgkFb8cCA/edit?usp=sharing"",""บุรีรัมย์!M436"")"),13520)</f>
        <v>13520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IFERROR(__xludf.DUMMYFUNCTION("IMPORTRANGE(""https://docs.google.com/spreadsheets/d/1XL5vhW3sbDhbH9Cz0tuDiY8C3ctxq1tqvaCgkFb8cCA/edit?usp=sharing"",""บุรีรัมย์!J438"")"),0)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IFERROR(__xludf.DUMMYFUNCTION("IMPORTRANGE(""https://docs.google.com/spreadsheets/d/1XL5vhW3sbDhbH9Cz0tuDiY8C3ctxq1tqvaCgkFb8cCA/edit?usp=sharing"",""บุรีรัมย์!J439"")"),1)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IFERROR(__xludf.DUMMYFUNCTION("IMPORTRANGE(""https://docs.google.com/spreadsheets/d/1XL5vhW3sbDhbH9Cz0tuDiY8C3ctxq1tqvaCgkFb8cCA/edit?usp=sharing"",""บุรีรัมย์!J440"")"),1)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IFERROR(__xludf.DUMMYFUNCTION("IMPORTRANGE(""https://docs.google.com/spreadsheets/d/1XL5vhW3sbDhbH9Cz0tuDiY8C3ctxq1tqvaCgkFb8cCA/edit?usp=sharing"",""บุรีรัมย์!J441"")"),1)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IFERROR(__xludf.DUMMYFUNCTION("IMPORTRANGE(""https://docs.google.com/spreadsheets/d/1XL5vhW3sbDhbH9Cz0tuDiY8C3ctxq1tqvaCgkFb8cCA/edit?usp=sharing"",""บุรีรัมย์!I442"")"),22)</f>
        <v>22</v>
      </c>
      <c r="J547" s="190">
        <f ca="1">IFERROR(__xludf.DUMMYFUNCTION("IMPORTRANGE(""https://docs.google.com/spreadsheets/d/1XL5vhW3sbDhbH9Cz0tuDiY8C3ctxq1tqvaCgkFb8cCA/edit?usp=sharing"",""บุรีรัมย์!J442"")"),22)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IFERROR(__xludf.DUMMYFUNCTION("IMPORTRANGE(""https://docs.google.com/spreadsheets/d/1XL5vhW3sbDhbH9Cz0tuDiY8C3ctxq1tqvaCgkFb8cCA/edit?usp=sharing"",""บุรีรัมย์!J166"")"),0)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IFERROR(__xludf.DUMMYFUNCTION("IMPORTRANGE(""https://docs.google.com/spreadsheets/d/1XL5vhW3sbDhbH9Cz0tuDiY8C3ctxq1tqvaCgkFb8cCA/edit?usp=sharing"",""บุรีรัมย์!J444"")"),0)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IFERROR(__xludf.DUMMYFUNCTION("IMPORTRANGE(""https://docs.google.com/spreadsheets/d/1XL5vhW3sbDhbH9Cz0tuDiY8C3ctxq1tqvaCgkFb8cCA/edit?usp=sharing"",""บุรีรัมย์!L447"")"),0)</f>
        <v>0</v>
      </c>
      <c r="M552" s="166"/>
      <c r="N552" s="170">
        <f ca="1">IFERROR(__xludf.DUMMYFUNCTION("IMPORTRANGE(""https://docs.google.com/spreadsheets/d/1XL5vhW3sbDhbH9Cz0tuDiY8C3ctxq1tqvaCgkFb8cCA/edit?usp=sharing"",""บุรีรัมย์!M447"")"),0)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IFERROR(__xludf.DUMMYFUNCTION("IMPORTRANGE(""https://docs.google.com/spreadsheets/d/1XL5vhW3sbDhbH9Cz0tuDiY8C3ctxq1tqvaCgkFb8cCA/edit?usp=sharing"",""บุรีรัมย์!L448"")"),0)</f>
        <v>0</v>
      </c>
      <c r="M553" s="167"/>
      <c r="N553" s="170">
        <f ca="1">IFERROR(__xludf.DUMMYFUNCTION("IMPORTRANGE(""https://docs.google.com/spreadsheets/d/1XL5vhW3sbDhbH9Cz0tuDiY8C3ctxq1tqvaCgkFb8cCA/edit?usp=sharing"",""บุรีรัมย์!M448"")"),0)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IFERROR(__xludf.DUMMYFUNCTION("IMPORTRANGE(""https://docs.google.com/spreadsheets/d/1XL5vhW3sbDhbH9Cz0tuDiY8C3ctxq1tqvaCgkFb8cCA/edit?usp=sharing"",""บุรีรัมย์!L449"")"),0)</f>
        <v>0</v>
      </c>
      <c r="M554" s="170"/>
      <c r="N554" s="170">
        <f ca="1">IFERROR(__xludf.DUMMYFUNCTION("IMPORTRANGE(""https://docs.google.com/spreadsheets/d/1XL5vhW3sbDhbH9Cz0tuDiY8C3ctxq1tqvaCgkFb8cCA/edit?usp=sharing"",""บุรีรัมย์!M449"")"),0)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IFERROR(__xludf.DUMMYFUNCTION("IMPORTRANGE(""https://docs.google.com/spreadsheets/d/1XL5vhW3sbDhbH9Cz0tuDiY8C3ctxq1tqvaCgkFb8cCA/edit?usp=sharing"",""บุรีรัมย์!L450"")"),0)</f>
        <v>0</v>
      </c>
      <c r="M555" s="170"/>
      <c r="N555" s="170">
        <f ca="1">IFERROR(__xludf.DUMMYFUNCTION("IMPORTRANGE(""https://docs.google.com/spreadsheets/d/1XL5vhW3sbDhbH9Cz0tuDiY8C3ctxq1tqvaCgkFb8cCA/edit?usp=sharing"",""บุรีรัมย์!M450"")"),0)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IFERROR(__xludf.DUMMYFUNCTION("IMPORTRANGE(""https://docs.google.com/spreadsheets/d/1XL5vhW3sbDhbH9Cz0tuDiY8C3ctxq1tqvaCgkFb8cCA/edit?usp=sharing"",""บุรีรัมย์!M451"")"),0)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IFERROR(__xludf.DUMMYFUNCTION("IMPORTRANGE(""https://docs.google.com/spreadsheets/d/1XL5vhW3sbDhbH9Cz0tuDiY8C3ctxq1tqvaCgkFb8cCA/edit?usp=sharing"",""บุรีรัมย์!M452"")"),0)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IFERROR(__xludf.DUMMYFUNCTION("IMPORTRANGE(""https://docs.google.com/spreadsheets/d/1XL5vhW3sbDhbH9Cz0tuDiY8C3ctxq1tqvaCgkFb8cCA/edit?usp=sharing"",""บุรีรัมย์!M453"")"),0)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IFERROR(__xludf.DUMMYFUNCTION("IMPORTRANGE(""https://docs.google.com/spreadsheets/d/1XL5vhW3sbDhbH9Cz0tuDiY8C3ctxq1tqvaCgkFb8cCA/edit?usp=sharing"",""บุรีรัมย์!M454"")"),0)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IFERROR(__xludf.DUMMYFUNCTION("IMPORTRANGE(""https://docs.google.com/spreadsheets/d/1XL5vhW3sbDhbH9Cz0tuDiY8C3ctxq1tqvaCgkFb8cCA/edit?usp=sharing"",""บุรีรัมย์!I455"")"),0)</f>
        <v>0</v>
      </c>
      <c r="J560" s="164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IFERROR(__xludf.DUMMYFUNCTION("IMPORTRANGE(""https://docs.google.com/spreadsheets/d/1XL5vhW3sbDhbH9Cz0tuDiY8C3ctxq1tqvaCgkFb8cCA/edit?usp=sharing"",""บุรีรัมย์!I456"")"),0)</f>
        <v>0</v>
      </c>
      <c r="J561" s="205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IFERROR(__xludf.DUMMYFUNCTION("IMPORTRANGE(""https://docs.google.com/spreadsheets/d/1XL5vhW3sbDhbH9Cz0tuDiY8C3ctxq1tqvaCgkFb8cCA/edit?usp=sharing"",""บุรีรัมย์!I457"")"),0)</f>
        <v>0</v>
      </c>
      <c r="J562" s="205" t="str">
        <f ca="1">IFERROR(__xludf.DUMMYFUNCTION("IMPORTRANGE(""https://docs.google.com/spreadsheets/d/1XL5vhW3sbDhbH9Cz0tuDiY8C3ctxq1tqvaCgkFb8cCA/edit?usp=sharing"",""บุรีรัมย์!J457"")"),"")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IFERROR(__xludf.DUMMYFUNCTION("IMPORTRANGE(""https://docs.google.com/spreadsheets/d/1XL5vhW3sbDhbH9Cz0tuDiY8C3ctxq1tqvaCgkFb8cCA/edit?usp=sharing"",""บุรีรัมย์!I458"")"),0)</f>
        <v>0</v>
      </c>
      <c r="J563" s="189" t="str">
        <f ca="1">IFERROR(__xludf.DUMMYFUNCTION("IMPORTRANGE(""https://docs.google.com/spreadsheets/d/1XL5vhW3sbDhbH9Cz0tuDiY8C3ctxq1tqvaCgkFb8cCA/edit?usp=sharing"",""บุรีรัมย์!J458"")"),"")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IFERROR(__xludf.DUMMYFUNCTION("IMPORTRANGE(""https://docs.google.com/spreadsheets/d/1XL5vhW3sbDhbH9Cz0tuDiY8C3ctxq1tqvaCgkFb8cCA/edit?usp=sharing"",""บุรีรัมย์!J459"")"),4321)</f>
        <v>4321</v>
      </c>
      <c r="K564" s="372">
        <f t="shared" ca="1" si="121"/>
        <v>88.183673469387756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IFERROR(__xludf.DUMMYFUNCTION("IMPORTRANGE(""https://docs.google.com/spreadsheets/d/1XL5vhW3sbDhbH9Cz0tuDiY8C3ctxq1tqvaCgkFb8cCA/edit?usp=sharing"",""บุรีรัมย์!M459"")"),46340.54)</f>
        <v>46340.54</v>
      </c>
      <c r="O564" s="373">
        <f t="shared" ref="O564:O568" ca="1" si="122">+IF(L564&gt;0,N564*100/L564,0)</f>
        <v>27.915987951807228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IFERROR(__xludf.DUMMYFUNCTION("IMPORTRANGE(""https://docs.google.com/spreadsheets/d/1XL5vhW3sbDhbH9Cz0tuDiY8C3ctxq1tqvaCgkFb8cCA/edit?usp=sharing"",""บุรีรัมย์!L460"")"),0)</f>
        <v>0</v>
      </c>
      <c r="M565" s="166"/>
      <c r="N565" s="170">
        <f ca="1">IFERROR(__xludf.DUMMYFUNCTION("IMPORTRANGE(""https://docs.google.com/spreadsheets/d/1XL5vhW3sbDhbH9Cz0tuDiY8C3ctxq1tqvaCgkFb8cCA/edit?usp=sharing"",""บุรีรัมย์!M460"")"),0)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IFERROR(__xludf.DUMMYFUNCTION("IMPORTRANGE(""https://docs.google.com/spreadsheets/d/1XL5vhW3sbDhbH9Cz0tuDiY8C3ctxq1tqvaCgkFb8cCA/edit?usp=sharing"",""บุรีรัมย์!L461"")"),166000)</f>
        <v>166000</v>
      </c>
      <c r="M566" s="167"/>
      <c r="N566" s="170">
        <f ca="1">IFERROR(__xludf.DUMMYFUNCTION("IMPORTRANGE(""https://docs.google.com/spreadsheets/d/1XL5vhW3sbDhbH9Cz0tuDiY8C3ctxq1tqvaCgkFb8cCA/edit?usp=sharing"",""บุรีรัมย์!M461"")"),46340.54)</f>
        <v>46340.54</v>
      </c>
      <c r="O566" s="170">
        <f t="shared" ca="1" si="122"/>
        <v>27.915987951807228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IFERROR(__xludf.DUMMYFUNCTION("IMPORTRANGE(""https://docs.google.com/spreadsheets/d/1XL5vhW3sbDhbH9Cz0tuDiY8C3ctxq1tqvaCgkFb8cCA/edit?usp=sharing"",""บุรีรัมย์!L462"")"),0)</f>
        <v>0</v>
      </c>
      <c r="M567" s="170"/>
      <c r="N567" s="170">
        <f ca="1">IFERROR(__xludf.DUMMYFUNCTION("IMPORTRANGE(""https://docs.google.com/spreadsheets/d/1XL5vhW3sbDhbH9Cz0tuDiY8C3ctxq1tqvaCgkFb8cCA/edit?usp=sharing"",""บุรีรัมย์!M462"")"),0)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IFERROR(__xludf.DUMMYFUNCTION("IMPORTRANGE(""https://docs.google.com/spreadsheets/d/1XL5vhW3sbDhbH9Cz0tuDiY8C3ctxq1tqvaCgkFb8cCA/edit?usp=sharing"",""บุรีรัมย์!L463"")"),166000)</f>
        <v>166000</v>
      </c>
      <c r="M568" s="170"/>
      <c r="N568" s="170">
        <f ca="1">IFERROR(__xludf.DUMMYFUNCTION("IMPORTRANGE(""https://docs.google.com/spreadsheets/d/1XL5vhW3sbDhbH9Cz0tuDiY8C3ctxq1tqvaCgkFb8cCA/edit?usp=sharing"",""บุรีรัมย์!M463"")"),46340.54)</f>
        <v>46340.54</v>
      </c>
      <c r="O568" s="170">
        <f t="shared" ca="1" si="122"/>
        <v>27.915987951807228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IFERROR(__xludf.DUMMYFUNCTION("IMPORTRANGE(""https://docs.google.com/spreadsheets/d/1XL5vhW3sbDhbH9Cz0tuDiY8C3ctxq1tqvaCgkFb8cCA/edit?usp=sharing"",""บุรีรัมย์!M464"")"),0)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IFERROR(__xludf.DUMMYFUNCTION("IMPORTRANGE(""https://docs.google.com/spreadsheets/d/1XL5vhW3sbDhbH9Cz0tuDiY8C3ctxq1tqvaCgkFb8cCA/edit?usp=sharing"",""บุรีรัมย์!M465"")"),0)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IFERROR(__xludf.DUMMYFUNCTION("IMPORTRANGE(""https://docs.google.com/spreadsheets/d/1XL5vhW3sbDhbH9Cz0tuDiY8C3ctxq1tqvaCgkFb8cCA/edit?usp=sharing"",""บุรีรัมย์!M466"")"),41066.54)</f>
        <v>41066.54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IFERROR(__xludf.DUMMYFUNCTION("IMPORTRANGE(""https://docs.google.com/spreadsheets/d/1XL5vhW3sbDhbH9Cz0tuDiY8C3ctxq1tqvaCgkFb8cCA/edit?usp=sharing"",""บุรีรัมย์!M467"")"),5274)</f>
        <v>5274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IFERROR(__xludf.DUMMYFUNCTION("IMPORTRANGE(""https://docs.google.com/spreadsheets/d/1XL5vhW3sbDhbH9Cz0tuDiY8C3ctxq1tqvaCgkFb8cCA/edit?usp=sharing"",""บุรีรัมย์!J468"")"),4321)</f>
        <v>4321</v>
      </c>
      <c r="K573" s="203">
        <f ca="1">IF(I573&gt;0,J573*100/I573,0)</f>
        <v>88.183673469387756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IFERROR(__xludf.DUMMYFUNCTION("IMPORTRANGE(""https://docs.google.com/spreadsheets/d/1XL5vhW3sbDhbH9Cz0tuDiY8C3ctxq1tqvaCgkFb8cCA/edit?usp=sharing"",""บุรีรัมย์!I470"")"),0)</f>
        <v>0</v>
      </c>
      <c r="J575" s="199">
        <f ca="1">IFERROR(__xludf.DUMMYFUNCTION("IMPORTRANGE(""https://docs.google.com/spreadsheets/d/1XL5vhW3sbDhbH9Cz0tuDiY8C3ctxq1tqvaCgkFb8cCA/edit?usp=sharing"",""บุรีรัมย์!J470"")"),1)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IFERROR(__xludf.DUMMYFUNCTION("IMPORTRANGE(""https://docs.google.com/spreadsheets/d/1XL5vhW3sbDhbH9Cz0tuDiY8C3ctxq1tqvaCgkFb8cCA/edit?usp=sharing"",""บุรีรัมย์!I471"")"),0)</f>
        <v>0</v>
      </c>
      <c r="J576" s="199">
        <f ca="1">IFERROR(__xludf.DUMMYFUNCTION("IMPORTRANGE(""https://docs.google.com/spreadsheets/d/1XL5vhW3sbDhbH9Cz0tuDiY8C3ctxq1tqvaCgkFb8cCA/edit?usp=sharing"",""บุรีรัมย์!J471"")"),61)</f>
        <v>61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IFERROR(__xludf.DUMMYFUNCTION("IMPORTRANGE(""https://docs.google.com/spreadsheets/d/1XL5vhW3sbDhbH9Cz0tuDiY8C3ctxq1tqvaCgkFb8cCA/edit?usp=sharing"",""บุรีรัมย์!I472"")"),0)</f>
        <v>0</v>
      </c>
      <c r="J577" s="190">
        <f ca="1">IFERROR(__xludf.DUMMYFUNCTION("IMPORTRANGE(""https://docs.google.com/spreadsheets/d/1XL5vhW3sbDhbH9Cz0tuDiY8C3ctxq1tqvaCgkFb8cCA/edit?usp=sharing"",""บุรีรัมย์!J472"")"),4260)</f>
        <v>4260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IFERROR(__xludf.DUMMYFUNCTION("IMPORTRANGE(""https://docs.google.com/spreadsheets/d/1XL5vhW3sbDhbH9Cz0tuDiY8C3ctxq1tqvaCgkFb8cCA/edit?usp=sharing"",""บุรีรัมย์!I473"")"),0)</f>
        <v>0</v>
      </c>
      <c r="J578" s="199">
        <f ca="1">IFERROR(__xludf.DUMMYFUNCTION("IMPORTRANGE(""https://docs.google.com/spreadsheets/d/1XL5vhW3sbDhbH9Cz0tuDiY8C3ctxq1tqvaCgkFb8cCA/edit?usp=sharing"",""บุรีรัมย์!J473"")"),0)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IFERROR(__xludf.DUMMYFUNCTION("IMPORTRANGE(""https://docs.google.com/spreadsheets/d/1XL5vhW3sbDhbH9Cz0tuDiY8C3ctxq1tqvaCgkFb8cCA/edit?usp=sharing"",""บุรีรัมย์!I474"")"),0)</f>
        <v>0</v>
      </c>
      <c r="J579" s="199">
        <f ca="1">IFERROR(__xludf.DUMMYFUNCTION("IMPORTRANGE(""https://docs.google.com/spreadsheets/d/1XL5vhW3sbDhbH9Cz0tuDiY8C3ctxq1tqvaCgkFb8cCA/edit?usp=sharing"",""บุรีรัมย์!J474"")"),0)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IFERROR(__xludf.DUMMYFUNCTION("IMPORTRANGE(""https://docs.google.com/spreadsheets/d/1XL5vhW3sbDhbH9Cz0tuDiY8C3ctxq1tqvaCgkFb8cCA/edit?usp=sharing"",""บุรีรัมย์!L476"")"),0)</f>
        <v>0</v>
      </c>
      <c r="M581" s="166"/>
      <c r="N581" s="170">
        <f ca="1">IFERROR(__xludf.DUMMYFUNCTION("IMPORTRANGE(""https://docs.google.com/spreadsheets/d/1XL5vhW3sbDhbH9Cz0tuDiY8C3ctxq1tqvaCgkFb8cCA/edit?usp=sharing"",""บุรีรัมย์!M476"")"),0)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IFERROR(__xludf.DUMMYFUNCTION("IMPORTRANGE(""https://docs.google.com/spreadsheets/d/1XL5vhW3sbDhbH9Cz0tuDiY8C3ctxq1tqvaCgkFb8cCA/edit?usp=sharing"",""บุรีรัมย์!L477"")"),172040)</f>
        <v>172040</v>
      </c>
      <c r="M582" s="167"/>
      <c r="N582" s="170">
        <f ca="1">IFERROR(__xludf.DUMMYFUNCTION("IMPORTRANGE(""https://docs.google.com/spreadsheets/d/1XL5vhW3sbDhbH9Cz0tuDiY8C3ctxq1tqvaCgkFb8cCA/edit?usp=sharing"",""บุรีรัมย์!M477"")"),0)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IFERROR(__xludf.DUMMYFUNCTION("IMPORTRANGE(""https://docs.google.com/spreadsheets/d/1XL5vhW3sbDhbH9Cz0tuDiY8C3ctxq1tqvaCgkFb8cCA/edit?usp=sharing"",""บุรีรัมย์!L478"")"),0)</f>
        <v>0</v>
      </c>
      <c r="M583" s="170"/>
      <c r="N583" s="170">
        <f ca="1">IFERROR(__xludf.DUMMYFUNCTION("IMPORTRANGE(""https://docs.google.com/spreadsheets/d/1XL5vhW3sbDhbH9Cz0tuDiY8C3ctxq1tqvaCgkFb8cCA/edit?usp=sharing"",""บุรีรัมย์!M478"")"),0)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IFERROR(__xludf.DUMMYFUNCTION("IMPORTRANGE(""https://docs.google.com/spreadsheets/d/1XL5vhW3sbDhbH9Cz0tuDiY8C3ctxq1tqvaCgkFb8cCA/edit?usp=sharing"",""บุรีรัมย์!L479"")"),172040)</f>
        <v>172040</v>
      </c>
      <c r="M584" s="170"/>
      <c r="N584" s="170">
        <f ca="1">IFERROR(__xludf.DUMMYFUNCTION("IMPORTRANGE(""https://docs.google.com/spreadsheets/d/1XL5vhW3sbDhbH9Cz0tuDiY8C3ctxq1tqvaCgkFb8cCA/edit?usp=sharing"",""บุรีรัมย์!M479"")"),0)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IFERROR(__xludf.DUMMYFUNCTION("IMPORTRANGE(""https://docs.google.com/spreadsheets/d/1XL5vhW3sbDhbH9Cz0tuDiY8C3ctxq1tqvaCgkFb8cCA/edit?usp=sharing"",""บุรีรัมย์!M480"")"),0)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IFERROR(__xludf.DUMMYFUNCTION("IMPORTRANGE(""https://docs.google.com/spreadsheets/d/1XL5vhW3sbDhbH9Cz0tuDiY8C3ctxq1tqvaCgkFb8cCA/edit?usp=sharing"",""บุรีรัมย์!M481"")"),0)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IFERROR(__xludf.DUMMYFUNCTION("IMPORTRANGE(""https://docs.google.com/spreadsheets/d/1XL5vhW3sbDhbH9Cz0tuDiY8C3ctxq1tqvaCgkFb8cCA/edit?usp=sharing"",""บุรีรัมย์!M482"")"),0)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IFERROR(__xludf.DUMMYFUNCTION("IMPORTRANGE(""https://docs.google.com/spreadsheets/d/1XL5vhW3sbDhbH9Cz0tuDiY8C3ctxq1tqvaCgkFb8cCA/edit?usp=sharing"",""บุรีรัมย์!M483"")"),0)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IFERROR(__xludf.DUMMYFUNCTION("IMPORTRANGE(""https://docs.google.com/spreadsheets/d/1XL5vhW3sbDhbH9Cz0tuDiY8C3ctxq1tqvaCgkFb8cCA/edit?usp=sharing"",""บุรีรัมย์!I484"")"),40)</f>
        <v>40</v>
      </c>
      <c r="J589" s="189">
        <f ca="1">IFERROR(__xludf.DUMMYFUNCTION("IMPORTRANGE(""https://docs.google.com/spreadsheets/d/1XL5vhW3sbDhbH9Cz0tuDiY8C3ctxq1tqvaCgkFb8cCA/edit?usp=sharing"",""บุรีรัมย์!J484"")"),0)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9">
        <f ca="1">IFERROR(__xludf.DUMMYFUNCTION("IMPORTRANGE(""https://docs.google.com/spreadsheets/d/1XL5vhW3sbDhbH9Cz0tuDiY8C3ctxq1tqvaCgkFb8cCA/edit?usp=sharing"",""บุรีรัมย์!J485"")"),0)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IFERROR(__xludf.DUMMYFUNCTION("IMPORTRANGE(""https://docs.google.com/spreadsheets/d/1XL5vhW3sbDhbH9Cz0tuDiY8C3ctxq1tqvaCgkFb8cCA/edit?usp=sharing"",""บุรีรัมย์!I486"")"),40)</f>
        <v>40</v>
      </c>
      <c r="J591" s="189">
        <f ca="1">IFERROR(__xludf.DUMMYFUNCTION("IMPORTRANGE(""https://docs.google.com/spreadsheets/d/1XL5vhW3sbDhbH9Cz0tuDiY8C3ctxq1tqvaCgkFb8cCA/edit?usp=sharing"",""บุรีรัมย์!J486"")"),0)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9">
        <f ca="1">IFERROR(__xludf.DUMMYFUNCTION("IMPORTRANGE(""https://docs.google.com/spreadsheets/d/1XL5vhW3sbDhbH9Cz0tuDiY8C3ctxq1tqvaCgkFb8cCA/edit?usp=sharing"",""บุรีรัมย์!J487"")"),0)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IFERROR(__xludf.DUMMYFUNCTION("IMPORTRANGE(""https://docs.google.com/spreadsheets/d/1XL5vhW3sbDhbH9Cz0tuDiY8C3ctxq1tqvaCgkFb8cCA/edit?usp=sharing"",""บุรีรัมย์!I488"")"),40)</f>
        <v>40</v>
      </c>
      <c r="J593" s="189">
        <f ca="1">IFERROR(__xludf.DUMMYFUNCTION("IMPORTRANGE(""https://docs.google.com/spreadsheets/d/1XL5vhW3sbDhbH9Cz0tuDiY8C3ctxq1tqvaCgkFb8cCA/edit?usp=sharing"",""บุรีรัมย์!J488"")"),0)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9">
        <f ca="1">IFERROR(__xludf.DUMMYFUNCTION("IMPORTRANGE(""https://docs.google.com/spreadsheets/d/1XL5vhW3sbDhbH9Cz0tuDiY8C3ctxq1tqvaCgkFb8cCA/edit?usp=sharing"",""บุรีรัมย์!J489"")"),0)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IFERROR(__xludf.DUMMYFUNCTION("IMPORTRANGE(""https://docs.google.com/spreadsheets/d/1XL5vhW3sbDhbH9Cz0tuDiY8C3ctxq1tqvaCgkFb8cCA/edit?usp=sharing"",""บุรีรัมย์!I490"")"),40)</f>
        <v>40</v>
      </c>
      <c r="J595" s="189">
        <f ca="1">IFERROR(__xludf.DUMMYFUNCTION("IMPORTRANGE(""https://docs.google.com/spreadsheets/d/1XL5vhW3sbDhbH9Cz0tuDiY8C3ctxq1tqvaCgkFb8cCA/edit?usp=sharing"",""บุรีรัมย์!J490"")"),0)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7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IFERROR(__xludf.DUMMYFUNCTION("IMPORTRANGE(""https://docs.google.com/spreadsheets/d/1XL5vhW3sbDhbH9Cz0tuDiY8C3ctxq1tqvaCgkFb8cCA/edit?usp=sharing"",""บุรีรัมย์!M492"")"),360)</f>
        <v>360</v>
      </c>
      <c r="O597" s="412">
        <f t="shared" ref="O597:O601" ca="1" si="126">+IF(L597&gt;0,N597*100/L597,0)</f>
        <v>4.9315068493150687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IFERROR(__xludf.DUMMYFUNCTION("IMPORTRANGE(""https://docs.google.com/spreadsheets/d/1XL5vhW3sbDhbH9Cz0tuDiY8C3ctxq1tqvaCgkFb8cCA/edit?usp=sharing"",""บุรีรัมย์!L493"")"),0)</f>
        <v>0</v>
      </c>
      <c r="M598" s="166"/>
      <c r="N598" s="170">
        <f ca="1">IFERROR(__xludf.DUMMYFUNCTION("IMPORTRANGE(""https://docs.google.com/spreadsheets/d/1XL5vhW3sbDhbH9Cz0tuDiY8C3ctxq1tqvaCgkFb8cCA/edit?usp=sharing"",""บุรีรัมย์!M493"")"),0)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IFERROR(__xludf.DUMMYFUNCTION("IMPORTRANGE(""https://docs.google.com/spreadsheets/d/1XL5vhW3sbDhbH9Cz0tuDiY8C3ctxq1tqvaCgkFb8cCA/edit?usp=sharing"",""บุรีรัมย์!L494"")"),7300)</f>
        <v>7300</v>
      </c>
      <c r="M599" s="167"/>
      <c r="N599" s="170">
        <f ca="1">IFERROR(__xludf.DUMMYFUNCTION("IMPORTRANGE(""https://docs.google.com/spreadsheets/d/1XL5vhW3sbDhbH9Cz0tuDiY8C3ctxq1tqvaCgkFb8cCA/edit?usp=sharing"",""บุรีรัมย์!M494"")"),360)</f>
        <v>360</v>
      </c>
      <c r="O599" s="170">
        <f t="shared" ca="1" si="126"/>
        <v>4.9315068493150687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IFERROR(__xludf.DUMMYFUNCTION("IMPORTRANGE(""https://docs.google.com/spreadsheets/d/1XL5vhW3sbDhbH9Cz0tuDiY8C3ctxq1tqvaCgkFb8cCA/edit?usp=sharing"",""บุรีรัมย์!L495"")"),0)</f>
        <v>0</v>
      </c>
      <c r="M600" s="170"/>
      <c r="N600" s="170">
        <f ca="1">IFERROR(__xludf.DUMMYFUNCTION("IMPORTRANGE(""https://docs.google.com/spreadsheets/d/1XL5vhW3sbDhbH9Cz0tuDiY8C3ctxq1tqvaCgkFb8cCA/edit?usp=sharing"",""บุรีรัมย์!M495"")"),0)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IFERROR(__xludf.DUMMYFUNCTION("IMPORTRANGE(""https://docs.google.com/spreadsheets/d/1XL5vhW3sbDhbH9Cz0tuDiY8C3ctxq1tqvaCgkFb8cCA/edit?usp=sharing"",""บุรีรัมย์!L496"")"),7300)</f>
        <v>7300</v>
      </c>
      <c r="M601" s="170"/>
      <c r="N601" s="170">
        <f ca="1">IFERROR(__xludf.DUMMYFUNCTION("IMPORTRANGE(""https://docs.google.com/spreadsheets/d/1XL5vhW3sbDhbH9Cz0tuDiY8C3ctxq1tqvaCgkFb8cCA/edit?usp=sharing"",""บุรีรัมย์!M496"")"),360)</f>
        <v>360</v>
      </c>
      <c r="O601" s="170">
        <f t="shared" ca="1" si="126"/>
        <v>4.9315068493150687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IFERROR(__xludf.DUMMYFUNCTION("IMPORTRANGE(""https://docs.google.com/spreadsheets/d/1XL5vhW3sbDhbH9Cz0tuDiY8C3ctxq1tqvaCgkFb8cCA/edit?usp=sharing"",""บุรีรัมย์!M497"")"),0)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IFERROR(__xludf.DUMMYFUNCTION("IMPORTRANGE(""https://docs.google.com/spreadsheets/d/1XL5vhW3sbDhbH9Cz0tuDiY8C3ctxq1tqvaCgkFb8cCA/edit?usp=sharing"",""บุรีรัมย์!M498"")"),0)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IFERROR(__xludf.DUMMYFUNCTION("IMPORTRANGE(""https://docs.google.com/spreadsheets/d/1XL5vhW3sbDhbH9Cz0tuDiY8C3ctxq1tqvaCgkFb8cCA/edit?usp=sharing"",""บุรีรัมย์!M500"")"),360)</f>
        <v>360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IFERROR(__xludf.DUMMYFUNCTION("IMPORTRANGE(""https://docs.google.com/spreadsheets/d/1XL5vhW3sbDhbH9Cz0tuDiY8C3ctxq1tqvaCgkFb8cCA/edit?usp=sharing"",""บุรีรัมย์!J502"")"),0)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IFERROR(__xludf.DUMMYFUNCTION("IMPORTRANGE(""https://docs.google.com/spreadsheets/d/1XL5vhW3sbDhbH9Cz0tuDiY8C3ctxq1tqvaCgkFb8cCA/edit?usp=sharing"",""บุรีรัมย์!J503"")"),1)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IFERROR(__xludf.DUMMYFUNCTION("IMPORTRANGE(""https://docs.google.com/spreadsheets/d/1XL5vhW3sbDhbH9Cz0tuDiY8C3ctxq1tqvaCgkFb8cCA/edit?usp=sharing"",""บุรีรัมย์!J166"")"),0)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IFERROR(__xludf.DUMMYFUNCTION("IMPORTRANGE(""https://docs.google.com/spreadsheets/d/1XL5vhW3sbDhbH9Cz0tuDiY8C3ctxq1tqvaCgkFb8cCA/edit?usp=sharing"",""บุรีรัมย์!J166"")"),0)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IFERROR(__xludf.DUMMYFUNCTION("IMPORTRANGE(""https://docs.google.com/spreadsheets/d/1XL5vhW3sbDhbH9Cz0tuDiY8C3ctxq1tqvaCgkFb8cCA/edit?usp=sharing"",""บุรีรัมย์!I506"")"),100)</f>
        <v>100</v>
      </c>
      <c r="J611" s="164">
        <f ca="1">IFERROR(__xludf.DUMMYFUNCTION("IMPORTRANGE(""https://docs.google.com/spreadsheets/d/1XL5vhW3sbDhbH9Cz0tuDiY8C3ctxq1tqvaCgkFb8cCA/edit?usp=sharing"",""บุรีรัมย์!J506"")"),0)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IFERROR(__xludf.DUMMYFUNCTION("IMPORTRANGE(""https://docs.google.com/spreadsheets/d/1XL5vhW3sbDhbH9Cz0tuDiY8C3ctxq1tqvaCgkFb8cCA/edit?usp=sharing"",""บุรีรัมย์!I507"")"),0)</f>
        <v>0</v>
      </c>
      <c r="J612" s="199">
        <f ca="1">IFERROR(__xludf.DUMMYFUNCTION("IMPORTRANGE(""https://docs.google.com/spreadsheets/d/1XL5vhW3sbDhbH9Cz0tuDiY8C3ctxq1tqvaCgkFb8cCA/edit?usp=sharing"",""บุรีรัมย์!J507"")"),57)</f>
        <v>57</v>
      </c>
      <c r="K612" s="165">
        <f t="shared" ca="1" si="127"/>
        <v>57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IFERROR(__xludf.DUMMYFUNCTION("IMPORTRANGE(""https://docs.google.com/spreadsheets/d/1XL5vhW3sbDhbH9Cz0tuDiY8C3ctxq1tqvaCgkFb8cCA/edit?usp=sharing"",""บุรีรัมย์!I508"")"),0)</f>
        <v>0</v>
      </c>
      <c r="J613" s="199">
        <f ca="1">IFERROR(__xludf.DUMMYFUNCTION("IMPORTRANGE(""https://docs.google.com/spreadsheets/d/1XL5vhW3sbDhbH9Cz0tuDiY8C3ctxq1tqvaCgkFb8cCA/edit?usp=sharing"",""บุรีรัมย์!J508"")"),0)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IFERROR(__xludf.DUMMYFUNCTION("IMPORTRANGE(""https://docs.google.com/spreadsheets/d/1XL5vhW3sbDhbH9Cz0tuDiY8C3ctxq1tqvaCgkFb8cCA/edit?usp=sharing"",""บุรีรัมย์!I509"")"),0)</f>
        <v>0</v>
      </c>
      <c r="J614" s="199">
        <f ca="1">IFERROR(__xludf.DUMMYFUNCTION("IMPORTRANGE(""https://docs.google.com/spreadsheets/d/1XL5vhW3sbDhbH9Cz0tuDiY8C3ctxq1tqvaCgkFb8cCA/edit?usp=sharing"",""บุรีรัมย์!J509"")"),0)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IFERROR(__xludf.DUMMYFUNCTION("IMPORTRANGE(""https://docs.google.com/spreadsheets/d/1XL5vhW3sbDhbH9Cz0tuDiY8C3ctxq1tqvaCgkFb8cCA/edit?usp=sharing"",""บุรีรัมย์!I510"")"),0)</f>
        <v>0</v>
      </c>
      <c r="J615" s="199">
        <f ca="1">IFERROR(__xludf.DUMMYFUNCTION("IMPORTRANGE(""https://docs.google.com/spreadsheets/d/1XL5vhW3sbDhbH9Cz0tuDiY8C3ctxq1tqvaCgkFb8cCA/edit?usp=sharing"",""บุรีรัมย์!J510"")"),0)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IFERROR(__xludf.DUMMYFUNCTION("IMPORTRANGE(""https://docs.google.com/spreadsheets/d/1XL5vhW3sbDhbH9Cz0tuDiY8C3ctxq1tqvaCgkFb8cCA/edit?usp=sharing"",""บุรีรัมย์!I511"")"),0)</f>
        <v>0</v>
      </c>
      <c r="J616" s="199">
        <f ca="1">IFERROR(__xludf.DUMMYFUNCTION("IMPORTRANGE(""https://docs.google.com/spreadsheets/d/1XL5vhW3sbDhbH9Cz0tuDiY8C3ctxq1tqvaCgkFb8cCA/edit?usp=sharing"",""บุรีรัมย์!J511"")"),0)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IFERROR(__xludf.DUMMYFUNCTION("IMPORTRANGE(""https://docs.google.com/spreadsheets/d/1XL5vhW3sbDhbH9Cz0tuDiY8C3ctxq1tqvaCgkFb8cCA/edit?usp=sharing"",""บุรีรัมย์!I512"")"),0)</f>
        <v>0</v>
      </c>
      <c r="J617" s="189">
        <f ca="1">IFERROR(__xludf.DUMMYFUNCTION("IMPORTRANGE(""https://docs.google.com/spreadsheets/d/1XL5vhW3sbDhbH9Cz0tuDiY8C3ctxq1tqvaCgkFb8cCA/edit?usp=sharing"",""บุรีรัมย์!J512"")"),0)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IFERROR(__xludf.DUMMYFUNCTION("IMPORTRANGE(""https://docs.google.com/spreadsheets/d/1XL5vhW3sbDhbH9Cz0tuDiY8C3ctxq1tqvaCgkFb8cCA/edit?usp=sharing"",""บุรีรัมย์!I513"")"),0)</f>
        <v>0</v>
      </c>
      <c r="J618" s="190">
        <f ca="1">IFERROR(__xludf.DUMMYFUNCTION("IMPORTRANGE(""https://docs.google.com/spreadsheets/d/1XL5vhW3sbDhbH9Cz0tuDiY8C3ctxq1tqvaCgkFb8cCA/edit?usp=sharing"",""บุรีรัมย์!J513"")"),0)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IFERROR(__xludf.DUMMYFUNCTION("IMPORTRANGE(""https://docs.google.com/spreadsheets/d/1XL5vhW3sbDhbH9Cz0tuDiY8C3ctxq1tqvaCgkFb8cCA/edit?usp=sharing"",""บุรีรัมย์!I514"")"),0)</f>
        <v>0</v>
      </c>
      <c r="J619" s="190">
        <f ca="1">IFERROR(__xludf.DUMMYFUNCTION("IMPORTRANGE(""https://docs.google.com/spreadsheets/d/1XL5vhW3sbDhbH9Cz0tuDiY8C3ctxq1tqvaCgkFb8cCA/edit?usp=sharing"",""บุรีรัมย์!J514"")"),0)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IFERROR(__xludf.DUMMYFUNCTION("IMPORTRANGE(""https://docs.google.com/spreadsheets/d/1XL5vhW3sbDhbH9Cz0tuDiY8C3ctxq1tqvaCgkFb8cCA/edit?usp=sharing"",""บุรีรัมย์!I515"")"),0)</f>
        <v>0</v>
      </c>
      <c r="J620" s="204">
        <f ca="1">IFERROR(__xludf.DUMMYFUNCTION("IMPORTRANGE(""https://docs.google.com/spreadsheets/d/1XL5vhW3sbDhbH9Cz0tuDiY8C3ctxq1tqvaCgkFb8cCA/edit?usp=sharing"",""บุรีรัมย์!J515"")"),0)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IFERROR(__xludf.DUMMYFUNCTION("IMPORTRANGE(""https://docs.google.com/spreadsheets/d/1XL5vhW3sbDhbH9Cz0tuDiY8C3ctxq1tqvaCgkFb8cCA/edit?usp=sharing"",""บุรีรัมย์!I516"")"),0)</f>
        <v>0</v>
      </c>
      <c r="J621" s="204">
        <f ca="1">IFERROR(__xludf.DUMMYFUNCTION("IMPORTRANGE(""https://docs.google.com/spreadsheets/d/1XL5vhW3sbDhbH9Cz0tuDiY8C3ctxq1tqvaCgkFb8cCA/edit?usp=sharing"",""บุรีรัมย์!J516"")"),0)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IFERROR(__xludf.DUMMYFUNCTION("IMPORTRANGE(""https://docs.google.com/spreadsheets/d/1XL5vhW3sbDhbH9Cz0tuDiY8C3ctxq1tqvaCgkFb8cCA/edit?usp=sharing"",""บุรีรัมย์!I517"")"),0)</f>
        <v>0</v>
      </c>
      <c r="J622" s="190">
        <f ca="1">IFERROR(__xludf.DUMMYFUNCTION("IMPORTRANGE(""https://docs.google.com/spreadsheets/d/1XL5vhW3sbDhbH9Cz0tuDiY8C3ctxq1tqvaCgkFb8cCA/edit?usp=sharing"",""บุรีรัมย์!J517"")"),0)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IFERROR(__xludf.DUMMYFUNCTION("IMPORTRANGE(""https://docs.google.com/spreadsheets/d/1XL5vhW3sbDhbH9Cz0tuDiY8C3ctxq1tqvaCgkFb8cCA/edit?usp=sharing"",""บุรีรัมย์!I518"")"),0)</f>
        <v>0</v>
      </c>
      <c r="J623" s="190">
        <f ca="1">IFERROR(__xludf.DUMMYFUNCTION("IMPORTRANGE(""https://docs.google.com/spreadsheets/d/1XL5vhW3sbDhbH9Cz0tuDiY8C3ctxq1tqvaCgkFb8cCA/edit?usp=sharing"",""บุรีรัมย์!J518"")"),0)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IFERROR(__xludf.DUMMYFUNCTION("IMPORTRANGE(""https://docs.google.com/spreadsheets/d/1XL5vhW3sbDhbH9Cz0tuDiY8C3ctxq1tqvaCgkFb8cCA/edit?usp=sharing"",""บุรีรัมย์!I519"")"),0)</f>
        <v>0</v>
      </c>
      <c r="J624" s="189">
        <f ca="1">IFERROR(__xludf.DUMMYFUNCTION("IMPORTRANGE(""https://docs.google.com/spreadsheets/d/1XL5vhW3sbDhbH9Cz0tuDiY8C3ctxq1tqvaCgkFb8cCA/edit?usp=sharing"",""บุรีรัมย์!J519"")"),0)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IFERROR(__xludf.DUMMYFUNCTION("IMPORTRANGE(""https://docs.google.com/spreadsheets/d/1XL5vhW3sbDhbH9Cz0tuDiY8C3ctxq1tqvaCgkFb8cCA/edit?usp=sharing"",""บุรีรัมย์!I520"")"),0)</f>
        <v>0</v>
      </c>
      <c r="J625" s="190">
        <f ca="1">IFERROR(__xludf.DUMMYFUNCTION("IMPORTRANGE(""https://docs.google.com/spreadsheets/d/1XL5vhW3sbDhbH9Cz0tuDiY8C3ctxq1tqvaCgkFb8cCA/edit?usp=sharing"",""บุรีรัมย์!J520"")"),0)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IFERROR(__xludf.DUMMYFUNCTION("IMPORTRANGE(""https://docs.google.com/spreadsheets/d/1XL5vhW3sbDhbH9Cz0tuDiY8C3ctxq1tqvaCgkFb8cCA/edit?usp=sharing"",""บุรีรัมย์!I521"")"),0)</f>
        <v>0</v>
      </c>
      <c r="J626" s="190">
        <f ca="1">IFERROR(__xludf.DUMMYFUNCTION("IMPORTRANGE(""https://docs.google.com/spreadsheets/d/1XL5vhW3sbDhbH9Cz0tuDiY8C3ctxq1tqvaCgkFb8cCA/edit?usp=sharing"",""บุรีรัมย์!J521"")"),0)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1">
        <f ca="1">IFERROR(__xludf.DUMMYFUNCTION("IMPORTRANGE(""https://docs.google.com/spreadsheets/d/1XL5vhW3sbDhbH9Cz0tuDiY8C3ctxq1tqvaCgkFb8cCA/edit?usp=sharing"",""บุรีรัมย์!J523"")"),23994.49)</f>
        <v>23994.49</v>
      </c>
      <c r="K628" s="342">
        <f t="shared" ref="K628:K635" ca="1" si="129">IF(I628&gt;0,J628*100/I628,0)</f>
        <v>0.8338386687249697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IFERROR(__xludf.DUMMYFUNCTION("IMPORTRANGE(""https://docs.google.com/spreadsheets/d/1XL5vhW3sbDhbH9Cz0tuDiY8C3ctxq1tqvaCgkFb8cCA/edit?usp=sharing"",""บุรีรัมย์!I524"")"),259)</f>
        <v>259</v>
      </c>
      <c r="J629" s="341">
        <f ca="1">IFERROR(__xludf.DUMMYFUNCTION("IMPORTRANGE(""https://docs.google.com/spreadsheets/d/1XL5vhW3sbDhbH9Cz0tuDiY8C3ctxq1tqvaCgkFb8cCA/edit?usp=sharing"",""บุรีรัมย์!J524"")"),2)</f>
        <v>2</v>
      </c>
      <c r="K629" s="342">
        <f t="shared" ca="1" si="129"/>
        <v>0.77220077220077221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1">
        <f ca="1">IFERROR(__xludf.DUMMYFUNCTION("IMPORTRANGE(""https://docs.google.com/spreadsheets/d/1XL5vhW3sbDhbH9Cz0tuDiY8C3ctxq1tqvaCgkFb8cCA/edit?usp=sharing"",""บุรีรัมย์!J525"")"),1200301.63)</f>
        <v>1200301.6299999999</v>
      </c>
      <c r="K630" s="342">
        <f t="shared" ca="1" si="129"/>
        <v>22.223015734234806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IFERROR(__xludf.DUMMYFUNCTION("IMPORTRANGE(""https://docs.google.com/spreadsheets/d/1XL5vhW3sbDhbH9Cz0tuDiY8C3ctxq1tqvaCgkFb8cCA/edit?usp=sharing"",""บุรีรัมย์!I526"")"),250)</f>
        <v>250</v>
      </c>
      <c r="J631" s="341">
        <f ca="1">IFERROR(__xludf.DUMMYFUNCTION("IMPORTRANGE(""https://docs.google.com/spreadsheets/d/1XL5vhW3sbDhbH9Cz0tuDiY8C3ctxq1tqvaCgkFb8cCA/edit?usp=sharing"",""บุรีรัมย์!J526"")"),132)</f>
        <v>132</v>
      </c>
      <c r="K631" s="342">
        <f t="shared" ca="1" si="129"/>
        <v>52.8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1">
        <f ca="1">IFERROR(__xludf.DUMMYFUNCTION("IMPORTRANGE(""https://docs.google.com/spreadsheets/d/1XL5vhW3sbDhbH9Cz0tuDiY8C3ctxq1tqvaCgkFb8cCA/edit?usp=sharing"",""บุรีรัมย์!J527"")"),727037.59)</f>
        <v>727037.59</v>
      </c>
      <c r="K632" s="342">
        <f t="shared" ca="1" si="129"/>
        <v>24.68904943472522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IFERROR(__xludf.DUMMYFUNCTION("IMPORTRANGE(""https://docs.google.com/spreadsheets/d/1XL5vhW3sbDhbH9Cz0tuDiY8C3ctxq1tqvaCgkFb8cCA/edit?usp=sharing"",""บุรีรัมย์!I528"")"),233)</f>
        <v>233</v>
      </c>
      <c r="J633" s="341">
        <f ca="1">IFERROR(__xludf.DUMMYFUNCTION("IMPORTRANGE(""https://docs.google.com/spreadsheets/d/1XL5vhW3sbDhbH9Cz0tuDiY8C3ctxq1tqvaCgkFb8cCA/edit?usp=sharing"",""บุรีรัมย์!J528"")"),148)</f>
        <v>148</v>
      </c>
      <c r="K633" s="342">
        <f t="shared" ca="1" si="129"/>
        <v>63.519313304721031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IFERROR(__xludf.DUMMYFUNCTION("IMPORTRANGE(""https://docs.google.com/spreadsheets/d/1XL5vhW3sbDhbH9Cz0tuDiY8C3ctxq1tqvaCgkFb8cCA/edit?usp=sharing"",""บุรีรัมย์!I529"")"),3000000)</f>
        <v>3000000</v>
      </c>
      <c r="J634" s="341">
        <f ca="1">IFERROR(__xludf.DUMMYFUNCTION("IMPORTRANGE(""https://docs.google.com/spreadsheets/d/1XL5vhW3sbDhbH9Cz0tuDiY8C3ctxq1tqvaCgkFb8cCA/edit?usp=sharing"",""บุรีรัมย์!J529"")"),0)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IFERROR(__xludf.DUMMYFUNCTION("IMPORTRANGE(""https://docs.google.com/spreadsheets/d/1XL5vhW3sbDhbH9Cz0tuDiY8C3ctxq1tqvaCgkFb8cCA/edit?usp=sharing"",""บุรีรัมย์!I530"")"),85)</f>
        <v>85</v>
      </c>
      <c r="J635" s="504">
        <f ca="1">IFERROR(__xludf.DUMMYFUNCTION("IMPORTRANGE(""https://docs.google.com/spreadsheets/d/1XL5vhW3sbDhbH9Cz0tuDiY8C3ctxq1tqvaCgkFb8cCA/edit?usp=sharing"",""บุรีรัมย์!J530"")"),0)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1" sqref="I1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4" width="17.85546875" bestFit="1" customWidth="1"/>
    <col min="15" max="15" width="18.7109375" bestFit="1" customWidth="1"/>
    <col min="16" max="16" width="20.5703125" customWidth="1"/>
  </cols>
  <sheetData>
    <row r="1" spans="1:16" ht="18" customHeight="1" x14ac:dyDescent="0.2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25">
      <c r="A2" s="575" t="s">
        <v>252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25">
      <c r="A3" s="575" t="s">
        <v>278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33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0" t="s">
        <v>2</v>
      </c>
      <c r="B5" s="570"/>
      <c r="C5" s="570"/>
      <c r="D5" s="570"/>
      <c r="E5" s="570"/>
      <c r="F5" s="570"/>
      <c r="G5" s="571"/>
      <c r="H5" s="579" t="s">
        <v>3</v>
      </c>
      <c r="I5" s="566" t="s">
        <v>4</v>
      </c>
      <c r="J5" s="558"/>
      <c r="K5" s="559"/>
      <c r="L5" s="567" t="s">
        <v>5</v>
      </c>
      <c r="M5" s="559"/>
      <c r="N5" s="568" t="s">
        <v>6</v>
      </c>
      <c r="O5" s="558"/>
      <c r="P5" s="559"/>
    </row>
    <row r="6" spans="1:16" ht="21.75" customHeight="1" x14ac:dyDescent="0.25">
      <c r="A6" s="572"/>
      <c r="B6" s="573"/>
      <c r="C6" s="573"/>
      <c r="D6" s="573"/>
      <c r="E6" s="573"/>
      <c r="F6" s="573"/>
      <c r="G6" s="574"/>
      <c r="H6" s="565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8" t="s">
        <v>15</v>
      </c>
      <c r="B7" s="558"/>
      <c r="C7" s="558"/>
      <c r="D7" s="558"/>
      <c r="E7" s="558"/>
      <c r="F7" s="558"/>
      <c r="G7" s="559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3">
      <c r="A8" s="17"/>
      <c r="B8" s="18"/>
      <c r="C8" s="19" t="s">
        <v>16</v>
      </c>
      <c r="D8" s="562" t="s">
        <v>17</v>
      </c>
      <c r="E8" s="551"/>
      <c r="F8" s="551"/>
      <c r="G8" s="551"/>
      <c r="H8" s="20" t="s">
        <v>12</v>
      </c>
      <c r="I8" s="21"/>
      <c r="J8" s="21"/>
      <c r="K8" s="22"/>
      <c r="L8" s="23">
        <f t="shared" ref="L8:N8" ca="1" si="0">L9+L10</f>
        <v>5621777</v>
      </c>
      <c r="M8" s="23">
        <f t="shared" ca="1" si="0"/>
        <v>1842742</v>
      </c>
      <c r="N8" s="23">
        <f t="shared" ca="1" si="0"/>
        <v>1853835.6099999999</v>
      </c>
      <c r="O8" s="22">
        <f t="shared" ref="O8:O16" ca="1" si="1">IF(L8&gt;0,N8*100/L8,0)</f>
        <v>32.975972010273622</v>
      </c>
      <c r="P8" s="22">
        <f t="shared" ref="P8:P16" ca="1" si="2">IF(M8&gt;0,N8*100/M8,0)</f>
        <v>100.60201645157053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5621777</v>
      </c>
      <c r="M10" s="30">
        <f t="shared" ca="1" si="4"/>
        <v>1842742</v>
      </c>
      <c r="N10" s="30">
        <f t="shared" ca="1" si="4"/>
        <v>1853835.6099999999</v>
      </c>
      <c r="O10" s="29">
        <f t="shared" ca="1" si="1"/>
        <v>32.975972010273622</v>
      </c>
      <c r="P10" s="29">
        <f t="shared" ca="1" si="2"/>
        <v>100.60201645157053</v>
      </c>
    </row>
    <row r="11" spans="1:16" ht="21.75" customHeight="1" x14ac:dyDescent="0.3">
      <c r="A11" s="31"/>
      <c r="B11" s="32"/>
      <c r="C11" s="33" t="s">
        <v>16</v>
      </c>
      <c r="D11" s="556" t="s">
        <v>20</v>
      </c>
      <c r="E11" s="553"/>
      <c r="F11" s="55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5484377</v>
      </c>
      <c r="M12" s="38">
        <f t="shared" ca="1" si="6"/>
        <v>1705342</v>
      </c>
      <c r="N12" s="38">
        <f t="shared" ca="1" si="6"/>
        <v>1716435.6099999999</v>
      </c>
      <c r="O12" s="38">
        <f t="shared" ca="1" si="1"/>
        <v>31.296820222242197</v>
      </c>
      <c r="P12" s="38">
        <f t="shared" ca="1" si="2"/>
        <v>100.65052112714048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3708877</v>
      </c>
      <c r="M14" s="38">
        <f t="shared" si="8"/>
        <v>0</v>
      </c>
      <c r="N14" s="38">
        <f t="shared" ca="1" si="8"/>
        <v>442442.61</v>
      </c>
      <c r="O14" s="38">
        <f t="shared" ca="1" si="1"/>
        <v>11.929287760149501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56" t="s">
        <v>23</v>
      </c>
      <c r="E15" s="55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8" t="s">
        <v>24</v>
      </c>
      <c r="B17" s="558"/>
      <c r="C17" s="558"/>
      <c r="D17" s="558"/>
      <c r="E17" s="558"/>
      <c r="F17" s="558"/>
      <c r="G17" s="559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3">
      <c r="A18" s="17"/>
      <c r="B18" s="18"/>
      <c r="C18" s="19" t="s">
        <v>16</v>
      </c>
      <c r="D18" s="562" t="s">
        <v>17</v>
      </c>
      <c r="E18" s="551"/>
      <c r="F18" s="551"/>
      <c r="G18" s="551"/>
      <c r="H18" s="20" t="s">
        <v>12</v>
      </c>
      <c r="I18" s="21"/>
      <c r="J18" s="21"/>
      <c r="K18" s="22"/>
      <c r="L18" s="23">
        <f t="shared" ref="L18:N18" ca="1" si="11">L19+L20</f>
        <v>3256320</v>
      </c>
      <c r="M18" s="23">
        <f t="shared" ca="1" si="11"/>
        <v>1842742</v>
      </c>
      <c r="N18" s="23">
        <f t="shared" ca="1" si="11"/>
        <v>1411393</v>
      </c>
      <c r="O18" s="22">
        <f t="shared" ref="O18:O20" ca="1" si="12">IF(L18&gt;0,N18*100/L18,0)</f>
        <v>43.343191086871066</v>
      </c>
      <c r="P18" s="22">
        <f t="shared" ref="P18:P26" ca="1" si="13">IF(M18&gt;0,N18*100/M18,0)</f>
        <v>76.592002570083068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3256320</v>
      </c>
      <c r="M20" s="30">
        <f t="shared" ca="1" si="15"/>
        <v>1842742</v>
      </c>
      <c r="N20" s="30">
        <f t="shared" ca="1" si="15"/>
        <v>1411393</v>
      </c>
      <c r="O20" s="29">
        <f t="shared" ca="1" si="12"/>
        <v>43.343191086871066</v>
      </c>
      <c r="P20" s="29">
        <f t="shared" ca="1" si="13"/>
        <v>76.592002570083068</v>
      </c>
    </row>
    <row r="21" spans="1:16" ht="21.75" customHeight="1" x14ac:dyDescent="0.3">
      <c r="A21" s="31"/>
      <c r="B21" s="32"/>
      <c r="C21" s="33" t="s">
        <v>16</v>
      </c>
      <c r="D21" s="556" t="s">
        <v>20</v>
      </c>
      <c r="E21" s="553"/>
      <c r="F21" s="55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3118920</v>
      </c>
      <c r="M22" s="41">
        <f t="shared" ca="1" si="18"/>
        <v>1705342</v>
      </c>
      <c r="N22" s="38">
        <f t="shared" ca="1" si="18"/>
        <v>1273993</v>
      </c>
      <c r="O22" s="38">
        <f t="shared" ca="1" si="17"/>
        <v>40.847248406499688</v>
      </c>
      <c r="P22" s="38">
        <f t="shared" ca="1" si="13"/>
        <v>74.706012049195991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1343420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56" t="s">
        <v>23</v>
      </c>
      <c r="E25" s="55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8" t="s">
        <v>25</v>
      </c>
      <c r="B27" s="558"/>
      <c r="C27" s="558"/>
      <c r="D27" s="558"/>
      <c r="E27" s="558"/>
      <c r="F27" s="558"/>
      <c r="G27" s="559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3">
      <c r="A28" s="17"/>
      <c r="B28" s="18"/>
      <c r="C28" s="19" t="s">
        <v>16</v>
      </c>
      <c r="D28" s="562" t="s">
        <v>17</v>
      </c>
      <c r="E28" s="551"/>
      <c r="F28" s="551"/>
      <c r="G28" s="551"/>
      <c r="H28" s="20" t="s">
        <v>12</v>
      </c>
      <c r="I28" s="21"/>
      <c r="J28" s="21"/>
      <c r="K28" s="22"/>
      <c r="L28" s="23">
        <f t="shared" ref="L28:N28" ca="1" si="23">L29+L30</f>
        <v>2365457</v>
      </c>
      <c r="M28" s="23">
        <f t="shared" si="23"/>
        <v>0</v>
      </c>
      <c r="N28" s="23">
        <f t="shared" ca="1" si="23"/>
        <v>442442.61</v>
      </c>
      <c r="O28" s="22">
        <f t="shared" ref="O28:O30" ca="1" si="24">IF(L28&gt;0,N28*100/L28,0)</f>
        <v>18.704318446710296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2365457</v>
      </c>
      <c r="M30" s="30">
        <f t="shared" si="27"/>
        <v>0</v>
      </c>
      <c r="N30" s="30">
        <f t="shared" ca="1" si="27"/>
        <v>442442.61</v>
      </c>
      <c r="O30" s="29">
        <f t="shared" ca="1" si="24"/>
        <v>18.704318446710296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56" t="s">
        <v>20</v>
      </c>
      <c r="E31" s="553"/>
      <c r="F31" s="55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2365457</v>
      </c>
      <c r="M32" s="38">
        <f t="shared" si="30"/>
        <v>0</v>
      </c>
      <c r="N32" s="38">
        <f t="shared" ca="1" si="30"/>
        <v>442442.61</v>
      </c>
      <c r="O32" s="38">
        <f t="shared" ca="1" si="29"/>
        <v>18.704318446710296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2365457</v>
      </c>
      <c r="M34" s="38">
        <f t="shared" si="32"/>
        <v>0</v>
      </c>
      <c r="N34" s="38">
        <f t="shared" ca="1" si="32"/>
        <v>442442.61</v>
      </c>
      <c r="O34" s="38">
        <f t="shared" ca="1" si="29"/>
        <v>18.704318446710296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56" t="s">
        <v>23</v>
      </c>
      <c r="E35" s="55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3256320</v>
      </c>
      <c r="M37" s="54">
        <f t="shared" ca="1" si="33"/>
        <v>1842742</v>
      </c>
      <c r="N37" s="54">
        <f t="shared" ca="1" si="33"/>
        <v>1411393</v>
      </c>
      <c r="O37" s="55">
        <f t="shared" ca="1" si="29"/>
        <v>43.343191086871066</v>
      </c>
      <c r="P37" s="55">
        <f t="shared" ca="1" si="25"/>
        <v>76.592002570083068</v>
      </c>
    </row>
    <row r="38" spans="1:16" ht="21.75" customHeight="1" x14ac:dyDescent="0.3">
      <c r="A38" s="576" t="s">
        <v>27</v>
      </c>
      <c r="B38" s="558"/>
      <c r="C38" s="558"/>
      <c r="D38" s="558"/>
      <c r="E38" s="558"/>
      <c r="F38" s="558"/>
      <c r="G38" s="559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3">
      <c r="A39" s="521"/>
      <c r="B39" s="577" t="s">
        <v>28</v>
      </c>
      <c r="C39" s="551"/>
      <c r="D39" s="551"/>
      <c r="E39" s="551"/>
      <c r="F39" s="551"/>
      <c r="G39" s="551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3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3">
      <c r="A41" s="72"/>
      <c r="B41" s="73"/>
      <c r="C41" s="74" t="s">
        <v>16</v>
      </c>
      <c r="D41" s="561" t="s">
        <v>17</v>
      </c>
      <c r="E41" s="553"/>
      <c r="F41" s="553"/>
      <c r="G41" s="553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338100</v>
      </c>
      <c r="N41" s="78">
        <f t="shared" ca="1" si="34"/>
        <v>272871</v>
      </c>
      <c r="O41" s="77">
        <f t="shared" ref="O41:O43" ca="1" si="35">IF(L41&gt;0,N41*100/L41,0)</f>
        <v>40.347626792843414</v>
      </c>
      <c r="P41" s="77">
        <f t="shared" ref="P41:P43" ca="1" si="36">IF(M41&gt;0,N41*100/M41,0)</f>
        <v>80.707187222715177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338100</v>
      </c>
      <c r="N43" s="78">
        <f t="shared" ca="1" si="38"/>
        <v>272871</v>
      </c>
      <c r="O43" s="77">
        <f t="shared" ca="1" si="35"/>
        <v>40.347626792843414</v>
      </c>
      <c r="P43" s="77">
        <f t="shared" ca="1" si="36"/>
        <v>80.707187222715177</v>
      </c>
    </row>
    <row r="44" spans="1:16" ht="21.75" customHeight="1" x14ac:dyDescent="0.3">
      <c r="A44" s="79"/>
      <c r="B44" s="80"/>
      <c r="C44" s="81" t="s">
        <v>16</v>
      </c>
      <c r="D44" s="552" t="s">
        <v>20</v>
      </c>
      <c r="E44" s="553"/>
      <c r="F44" s="55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533">
        <f ca="1">IFERROR(__xludf.DUMMYFUNCTION("IMPORTRANGE(""https://docs.google.com/spreadsheets/d/1Yj_ptqi66GCucihVvJfMjLAmec39IyEx_6qawtMGysU/edit?usp=sharing"",""สบก!Q45"")"),338100)</f>
        <v>338100</v>
      </c>
      <c r="N45" s="533">
        <f ca="1">IFERROR(__xludf.DUMMYFUNCTION("IMPORTRANGE(""https://docs.google.com/spreadsheets/d/1Yj_ptqi66GCucihVvJfMjLAmec39IyEx_6qawtMGysU/edit?usp=sharing"",""สบก!R45"")"),272871)</f>
        <v>272871</v>
      </c>
      <c r="O45" s="534">
        <f ca="1">IF(L45&gt;0,N45*100/L45,0)</f>
        <v>40.347626792843414</v>
      </c>
      <c r="P45" s="534">
        <f ca="1">IF(M45&gt;0,N45*100/M45,0)</f>
        <v>80.707187222715177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IFERROR(__xludf.DUMMYFUNCTION("IMPORTRANGE(""https://docs.google.com/spreadsheets/d/1Yj_ptqi66GCucihVvJfMjLAmec39IyEx_6qawtMGysU/edit?usp=sharing"",""สบก!M45"")"),676300)</f>
        <v>676300</v>
      </c>
      <c r="M46" s="535"/>
      <c r="N46" s="38"/>
      <c r="O46" s="534"/>
      <c r="P46" s="53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IFERROR(__xludf.DUMMYFUNCTION("IMPORTRANGE(""https://docs.google.com/spreadsheets/d/1Yj_ptqi66GCucihVvJfMjLAmec39IyEx_6qawtMGysU/edit?usp=sharing"",""สบก!N45"")"),0)</f>
        <v>0</v>
      </c>
      <c r="M47" s="535"/>
      <c r="N47" s="38"/>
      <c r="O47" s="534"/>
      <c r="P47" s="534"/>
    </row>
    <row r="48" spans="1:16" ht="21.75" customHeight="1" x14ac:dyDescent="0.3">
      <c r="A48" s="79"/>
      <c r="B48" s="80"/>
      <c r="C48" s="81" t="s">
        <v>16</v>
      </c>
      <c r="D48" s="552" t="s">
        <v>23</v>
      </c>
      <c r="E48" s="55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IFERROR(__xludf.DUMMYFUNCTION("IMPORTRANGE(""https://docs.google.com/spreadsheets/d/1Yj_ptqi66GCucihVvJfMjLAmec39IyEx_6qawtMGysU/edit?usp=sharing"",""สบก!O45"")"),0)</f>
        <v>0</v>
      </c>
      <c r="M49" s="536"/>
      <c r="N49" s="533">
        <f ca="1">IFERROR(__xludf.DUMMYFUNCTION("IMPORTRANGE(""https://docs.google.com/spreadsheets/d/1Yj_ptqi66GCucihVvJfMjLAmec39IyEx_6qawtMGysU/edit?usp=sharing"",""สบก!S45"")"),0)</f>
        <v>0</v>
      </c>
      <c r="O49" s="536">
        <f ca="1">IF(L49&gt;0,N49*100/L49,0)</f>
        <v>0</v>
      </c>
      <c r="P49" s="53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54" t="s">
        <v>32</v>
      </c>
      <c r="C52" s="553"/>
      <c r="D52" s="553"/>
      <c r="E52" s="553"/>
      <c r="F52" s="553"/>
      <c r="G52" s="55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55" t="s">
        <v>17</v>
      </c>
      <c r="E53" s="553"/>
      <c r="F53" s="553"/>
      <c r="G53" s="553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245092</v>
      </c>
      <c r="N53" s="121">
        <f t="shared" ca="1" si="39"/>
        <v>223892</v>
      </c>
      <c r="O53" s="120">
        <f t="shared" ref="O53:O55" ca="1" si="40">IF(L53&gt;0,N53*100/L53,0)</f>
        <v>47.596088435374149</v>
      </c>
      <c r="P53" s="120">
        <f t="shared" ref="P53:P55" ca="1" si="41">IF(M53&gt;0,N53*100/M53,0)</f>
        <v>91.350186868604439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245092</v>
      </c>
      <c r="N55" s="121">
        <f t="shared" ca="1" si="43"/>
        <v>223892</v>
      </c>
      <c r="O55" s="120">
        <f t="shared" ca="1" si="40"/>
        <v>47.596088435374149</v>
      </c>
      <c r="P55" s="120">
        <f t="shared" ca="1" si="41"/>
        <v>91.350186868604439</v>
      </c>
    </row>
    <row r="56" spans="1:16" ht="21.75" customHeight="1" x14ac:dyDescent="0.3">
      <c r="A56" s="79"/>
      <c r="B56" s="80"/>
      <c r="C56" s="81" t="s">
        <v>16</v>
      </c>
      <c r="D56" s="552" t="s">
        <v>20</v>
      </c>
      <c r="E56" s="553"/>
      <c r="F56" s="55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533">
        <f ca="1">IFERROR(__xludf.DUMMYFUNCTION("IMPORTRANGE(""https://docs.google.com/spreadsheets/d/1Yj_ptqi66GCucihVvJfMjLAmec39IyEx_6qawtMGysU/edit?usp=sharing"",""สบก!Z45"")"),245092)</f>
        <v>245092</v>
      </c>
      <c r="N57" s="533">
        <f ca="1">IFERROR(__xludf.DUMMYFUNCTION("IMPORTRANGE(""https://docs.google.com/spreadsheets/d/1Yj_ptqi66GCucihVvJfMjLAmec39IyEx_6qawtMGysU/edit?usp=sharing"",""สบก!AA45"")"),223892)</f>
        <v>223892</v>
      </c>
      <c r="O57" s="534">
        <f ca="1">IF(L57&gt;0,N57*100/L57,0)</f>
        <v>47.596088435374149</v>
      </c>
      <c r="P57" s="534">
        <f ca="1">IF(M57&gt;0,N57*100/M57,0)</f>
        <v>91.350186868604439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IFERROR(__xludf.DUMMYFUNCTION("IMPORTRANGE(""https://docs.google.com/spreadsheets/d/1Yj_ptqi66GCucihVvJfMjLAmec39IyEx_6qawtMGysU/edit?usp=sharing"",""สบก!V45"")"),470400)</f>
        <v>470400</v>
      </c>
      <c r="M58" s="535"/>
      <c r="N58" s="38"/>
      <c r="O58" s="534"/>
      <c r="P58" s="53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IFERROR(__xludf.DUMMYFUNCTION("IMPORTRANGE(""https://docs.google.com/spreadsheets/d/1Yj_ptqi66GCucihVvJfMjLAmec39IyEx_6qawtMGysU/edit?usp=sharing"",""สบก!W45"")"),0)</f>
        <v>0</v>
      </c>
      <c r="M59" s="535"/>
      <c r="N59" s="38"/>
      <c r="O59" s="534"/>
      <c r="P59" s="534"/>
    </row>
    <row r="60" spans="1:16" ht="21.75" customHeight="1" x14ac:dyDescent="0.3">
      <c r="A60" s="79"/>
      <c r="B60" s="80"/>
      <c r="C60" s="81" t="s">
        <v>16</v>
      </c>
      <c r="D60" s="552" t="s">
        <v>23</v>
      </c>
      <c r="E60" s="55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IFERROR(__xludf.DUMMYFUNCTION("IMPORTRANGE(""https://docs.google.com/spreadsheets/d/1Yj_ptqi66GCucihVvJfMjLAmec39IyEx_6qawtMGysU/edit?usp=sharing"",""สบก!X45"")"),0)</f>
        <v>0</v>
      </c>
      <c r="M61" s="536"/>
      <c r="N61" s="533">
        <f ca="1">IFERROR(__xludf.DUMMYFUNCTION("IMPORTRANGE(""https://docs.google.com/spreadsheets/d/1Yj_ptqi66GCucihVvJfMjLAmec39IyEx_6qawtMGysU/edit?usp=sharing"",""สบก!AB45"")"),0)</f>
        <v>0</v>
      </c>
      <c r="O61" s="536">
        <f ca="1">IF(L61&gt;0,N61*100/L61,0)</f>
        <v>0</v>
      </c>
      <c r="P61" s="53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50" t="s">
        <v>17</v>
      </c>
      <c r="E66" s="551"/>
      <c r="F66" s="551"/>
      <c r="G66" s="551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627100</v>
      </c>
      <c r="N66" s="152">
        <f t="shared" ca="1" si="45"/>
        <v>420675</v>
      </c>
      <c r="O66" s="151">
        <f t="shared" ref="O66:O68" ca="1" si="46">IF(L66&gt;0,N66*100/L66,0)</f>
        <v>39.529693666604025</v>
      </c>
      <c r="P66" s="151">
        <f t="shared" ref="P66:P68" ca="1" si="47">IF(M66&gt;0,N66*100/M66,0)</f>
        <v>67.082602455748685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627100</v>
      </c>
      <c r="N68" s="157">
        <f t="shared" ca="1" si="49"/>
        <v>420675</v>
      </c>
      <c r="O68" s="156">
        <f t="shared" ca="1" si="46"/>
        <v>39.529693666604025</v>
      </c>
      <c r="P68" s="156">
        <f t="shared" ca="1" si="47"/>
        <v>67.082602455748685</v>
      </c>
    </row>
    <row r="69" spans="1:16" ht="21.75" customHeight="1" x14ac:dyDescent="0.25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25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1019200</v>
      </c>
      <c r="M70" s="537">
        <f ca="1">IFERROR(__xludf.DUMMYFUNCTION("IMPORTRANGE(""https://docs.google.com/spreadsheets/d/1Yj_ptqi66GCucihVvJfMjLAmec39IyEx_6qawtMGysU/edit?usp=sharing"",""สบก!AI45"")"),582100)</f>
        <v>582100</v>
      </c>
      <c r="N70" s="538">
        <f ca="1">IFERROR(__xludf.DUMMYFUNCTION("IMPORTRANGE(""https://docs.google.com/spreadsheets/d/1Yj_ptqi66GCucihVvJfMjLAmec39IyEx_6qawtMGysU/edit?usp=sharing"",""สบก!AJ45"")"),375675)</f>
        <v>375675</v>
      </c>
      <c r="O70" s="170">
        <f ca="1">IF(L70&gt;0,N70*100/L70,0)</f>
        <v>36.859791993720563</v>
      </c>
      <c r="P70" s="170">
        <f ca="1">IF(M70&gt;0,N70*100/M70,0)</f>
        <v>64.537880089331736</v>
      </c>
    </row>
    <row r="71" spans="1:16" ht="21.75" customHeight="1" x14ac:dyDescent="0.25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IFERROR(__xludf.DUMMYFUNCTION("IMPORTRANGE(""https://docs.google.com/spreadsheets/d/1Yj_ptqi66GCucihVvJfMjLAmec39IyEx_6qawtMGysU/edit?usp=sharing"",""สบก!AE45"")"),322800)</f>
        <v>322800</v>
      </c>
      <c r="M71" s="169"/>
      <c r="N71" s="169"/>
      <c r="O71" s="170"/>
      <c r="P71" s="170"/>
    </row>
    <row r="72" spans="1:16" ht="21.75" customHeight="1" x14ac:dyDescent="0.25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IFERROR(__xludf.DUMMYFUNCTION("IMPORTRANGE(""https://docs.google.com/spreadsheets/d/1Yj_ptqi66GCucihVvJfMjLAmec39IyEx_6qawtMGysU/edit?usp=sharing"",""สบก!AF45"")"),696400)</f>
        <v>696400</v>
      </c>
      <c r="M72" s="169"/>
      <c r="N72" s="169"/>
      <c r="O72" s="170"/>
      <c r="P72" s="170"/>
    </row>
    <row r="73" spans="1:16" ht="21.75" customHeight="1" x14ac:dyDescent="0.3">
      <c r="A73" s="172"/>
      <c r="B73" s="80"/>
      <c r="C73" s="81" t="s">
        <v>16</v>
      </c>
      <c r="D73" s="552" t="s">
        <v>23</v>
      </c>
      <c r="E73" s="553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3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IFERROR(__xludf.DUMMYFUNCTION("IMPORTRANGE(""https://docs.google.com/spreadsheets/d/1Yj_ptqi66GCucihVvJfMjLAmec39IyEx_6qawtMGysU/edit?usp=sharing"",""สบก!AG45"")"),45000)</f>
        <v>45000</v>
      </c>
      <c r="M74" s="536">
        <f ca="1">L74</f>
        <v>45000</v>
      </c>
      <c r="N74" s="533">
        <f ca="1">IFERROR(__xludf.DUMMYFUNCTION("IMPORTRANGE(""https://docs.google.com/spreadsheets/d/1Yj_ptqi66GCucihVvJfMjLAmec39IyEx_6qawtMGysU/edit?usp=sharing"",""สบก!AK45"")"),45000)</f>
        <v>45000</v>
      </c>
      <c r="O74" s="536">
        <f ca="1">IF(L74&gt;0,N74*100/L74,0)</f>
        <v>100</v>
      </c>
      <c r="P74" s="536">
        <f ca="1">IF(M74&gt;0,N74*100/M74,0)</f>
        <v>100</v>
      </c>
    </row>
    <row r="75" spans="1:16" ht="21.75" customHeight="1" x14ac:dyDescent="0.25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25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IFERROR(__xludf.DUMMYFUNCTION("IMPORTRANGE(""https://docs.google.com/spreadsheets/d/1XL5vhW3sbDhbH9Cz0tuDiY8C3ctxq1tqvaCgkFb8cCA/edit?usp=sharing"",""มหาสารคาม!J16"")"),0)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25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IFERROR(__xludf.DUMMYFUNCTION("IMPORTRANGE(""https://docs.google.com/spreadsheets/d/1XL5vhW3sbDhbH9Cz0tuDiY8C3ctxq1tqvaCgkFb8cCA/edit?usp=sharing"",""มหาสารคาม!J17"")"),1)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25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IFERROR(__xludf.DUMMYFUNCTION("IMPORTRANGE(""https://docs.google.com/spreadsheets/d/1XL5vhW3sbDhbH9Cz0tuDiY8C3ctxq1tqvaCgkFb8cCA/edit?usp=sharing"",""มหาสารคาม!J18"")"),1)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25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IFERROR(__xludf.DUMMYFUNCTION("IMPORTRANGE(""https://docs.google.com/spreadsheets/d/1XL5vhW3sbDhbH9Cz0tuDiY8C3ctxq1tqvaCgkFb8cCA/edit?usp=sharing"",""มหาสารคาม!J19"")"),1)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25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IFERROR(__xludf.DUMMYFUNCTION("IMPORTRANGE(""https://docs.google.com/spreadsheets/d/1XL5vhW3sbDhbH9Cz0tuDiY8C3ctxq1tqvaCgkFb8cCA/edit?usp=sharing"",""มหาสารคาม!I20"")"),2)</f>
        <v>2</v>
      </c>
      <c r="J80" s="202">
        <f ca="1">IFERROR(__xludf.DUMMYFUNCTION("IMPORTRANGE(""https://docs.google.com/spreadsheets/d/1XL5vhW3sbDhbH9Cz0tuDiY8C3ctxq1tqvaCgkFb8cCA/edit?usp=sharing"",""มหาสารคาม!J20"")"),2)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25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IFERROR(__xludf.DUMMYFUNCTION("IMPORTRANGE(""https://docs.google.com/spreadsheets/d/1XL5vhW3sbDhbH9Cz0tuDiY8C3ctxq1tqvaCgkFb8cCA/edit?usp=sharing"",""มหาสารคาม!I21"")"),77)</f>
        <v>77</v>
      </c>
      <c r="J81" s="202">
        <f ca="1">IFERROR(__xludf.DUMMYFUNCTION("IMPORTRANGE(""https://docs.google.com/spreadsheets/d/1XL5vhW3sbDhbH9Cz0tuDiY8C3ctxq1tqvaCgkFb8cCA/edit?usp=sharing"",""มหาสารคาม!J21"")"),77)</f>
        <v>77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25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IFERROR(__xludf.DUMMYFUNCTION("IMPORTRANGE(""https://docs.google.com/spreadsheets/d/1XL5vhW3sbDhbH9Cz0tuDiY8C3ctxq1tqvaCgkFb8cCA/edit?usp=sharing"",""มหาสารคาม!I22"")"),1)</f>
        <v>1</v>
      </c>
      <c r="J82" s="205">
        <f ca="1">IFERROR(__xludf.DUMMYFUNCTION("IMPORTRANGE(""https://docs.google.com/spreadsheets/d/1XL5vhW3sbDhbH9Cz0tuDiY8C3ctxq1tqvaCgkFb8cCA/edit?usp=sharing"",""มหาสารคาม!J22"")"),1)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25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IFERROR(__xludf.DUMMYFUNCTION("IMPORTRANGE(""https://docs.google.com/spreadsheets/d/1XL5vhW3sbDhbH9Cz0tuDiY8C3ctxq1tqvaCgkFb8cCA/edit?usp=sharing"",""มหาสารคาม!I23"")"),37)</f>
        <v>37</v>
      </c>
      <c r="J83" s="205">
        <f ca="1">IFERROR(__xludf.DUMMYFUNCTION("IMPORTRANGE(""https://docs.google.com/spreadsheets/d/1XL5vhW3sbDhbH9Cz0tuDiY8C3ctxq1tqvaCgkFb8cCA/edit?usp=sharing"",""มหาสารคาม!J23"")"),37)</f>
        <v>37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25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IFERROR(__xludf.DUMMYFUNCTION("IMPORTRANGE(""https://docs.google.com/spreadsheets/d/1XL5vhW3sbDhbH9Cz0tuDiY8C3ctxq1tqvaCgkFb8cCA/edit?usp=sharing"",""มหาสารคาม!I24"")"),1)</f>
        <v>1</v>
      </c>
      <c r="J84" s="190">
        <f ca="1">IFERROR(__xludf.DUMMYFUNCTION("IMPORTRANGE(""https://docs.google.com/spreadsheets/d/1XL5vhW3sbDhbH9Cz0tuDiY8C3ctxq1tqvaCgkFb8cCA/edit?usp=sharing"",""มหาสารคาม!J24"")"),1)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25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IFERROR(__xludf.DUMMYFUNCTION("IMPORTRANGE(""https://docs.google.com/spreadsheets/d/1XL5vhW3sbDhbH9Cz0tuDiY8C3ctxq1tqvaCgkFb8cCA/edit?usp=sharing"",""มหาสารคาม!I25"")"),40)</f>
        <v>40</v>
      </c>
      <c r="J85" s="190">
        <f ca="1">IFERROR(__xludf.DUMMYFUNCTION("IMPORTRANGE(""https://docs.google.com/spreadsheets/d/1XL5vhW3sbDhbH9Cz0tuDiY8C3ctxq1tqvaCgkFb8cCA/edit?usp=sharing"",""มหาสารคาม!J25"")"),40)</f>
        <v>40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25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IFERROR(__xludf.DUMMYFUNCTION("IMPORTRANGE(""https://docs.google.com/spreadsheets/d/1XL5vhW3sbDhbH9Cz0tuDiY8C3ctxq1tqvaCgkFb8cCA/edit?usp=sharing"",""มหาสารคาม!I26"")"),0)</f>
        <v>0</v>
      </c>
      <c r="J86" s="205">
        <f ca="1">IFERROR(__xludf.DUMMYFUNCTION("IMPORTRANGE(""https://docs.google.com/spreadsheets/d/1XL5vhW3sbDhbH9Cz0tuDiY8C3ctxq1tqvaCgkFb8cCA/edit?usp=sharing"",""มหาสารคาม!J26"")"),0)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25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IFERROR(__xludf.DUMMYFUNCTION("IMPORTRANGE(""https://docs.google.com/spreadsheets/d/1XL5vhW3sbDhbH9Cz0tuDiY8C3ctxq1tqvaCgkFb8cCA/edit?usp=sharing"",""มหาสารคาม!I27"")"),0)</f>
        <v>0</v>
      </c>
      <c r="J87" s="205">
        <f ca="1">IFERROR(__xludf.DUMMYFUNCTION("IMPORTRANGE(""https://docs.google.com/spreadsheets/d/1XL5vhW3sbDhbH9Cz0tuDiY8C3ctxq1tqvaCgkFb8cCA/edit?usp=sharing"",""มหาสารคาม!J27"")"),0)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25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IFERROR(__xludf.DUMMYFUNCTION("IMPORTRANGE(""https://docs.google.com/spreadsheets/d/1XL5vhW3sbDhbH9Cz0tuDiY8C3ctxq1tqvaCgkFb8cCA/edit?usp=sharing"",""มหาสารคาม!I28"")"),37)</f>
        <v>37</v>
      </c>
      <c r="J88" s="205">
        <f ca="1">IFERROR(__xludf.DUMMYFUNCTION("IMPORTRANGE(""https://docs.google.com/spreadsheets/d/1XL5vhW3sbDhbH9Cz0tuDiY8C3ctxq1tqvaCgkFb8cCA/edit?usp=sharing"",""มหาสารคาม!J28"")"),0)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25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IFERROR(__xludf.DUMMYFUNCTION("IMPORTRANGE(""https://docs.google.com/spreadsheets/d/1XL5vhW3sbDhbH9Cz0tuDiY8C3ctxq1tqvaCgkFb8cCA/edit?usp=sharing"",""มหาสารคาม!J29"")"),0)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25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25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50" t="s">
        <v>17</v>
      </c>
      <c r="E94" s="551"/>
      <c r="F94" s="551"/>
      <c r="G94" s="551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130120</v>
      </c>
      <c r="O94" s="151">
        <f t="shared" ref="O94:O96" ca="1" si="53">IF(L94&gt;0,N94*100/L94,0)</f>
        <v>60.662004662004662</v>
      </c>
      <c r="P94" s="151">
        <f t="shared" ref="P94:P96" ca="1" si="54">IF(M94&gt;0,N94*100/M94,0)</f>
        <v>80.75467014212127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130120</v>
      </c>
      <c r="O96" s="156">
        <f t="shared" ca="1" si="53"/>
        <v>60.662004662004662</v>
      </c>
      <c r="P96" s="156">
        <f t="shared" ca="1" si="54"/>
        <v>80.75467014212127</v>
      </c>
    </row>
    <row r="97" spans="1:16" ht="21.75" customHeight="1" x14ac:dyDescent="0.25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25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IFERROR(__xludf.DUMMYFUNCTION("IMPORTRANGE(""https://docs.google.com/spreadsheets/d/1Yj_ptqi66GCucihVvJfMjLAmec39IyEx_6qawtMGysU/edit?usp=sharing"",""สบก!AR45"")"),68730)</f>
        <v>68730</v>
      </c>
      <c r="N98" s="538">
        <f ca="1">IFERROR(__xludf.DUMMYFUNCTION("IMPORTRANGE(""https://docs.google.com/spreadsheets/d/1Yj_ptqi66GCucihVvJfMjLAmec39IyEx_6qawtMGysU/edit?usp=sharing"",""สบก!AS45"")"),37720)</f>
        <v>37720</v>
      </c>
      <c r="O98" s="170">
        <f ca="1">IF(L98&gt;0,N98*100/L98,0)</f>
        <v>30.892710892710891</v>
      </c>
      <c r="P98" s="170">
        <f ca="1">IF(M98&gt;0,N98*100/M98,0)</f>
        <v>54.881420049468936</v>
      </c>
    </row>
    <row r="99" spans="1:16" ht="21.75" customHeight="1" x14ac:dyDescent="0.25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IFERROR(__xludf.DUMMYFUNCTION("IMPORTRANGE(""https://docs.google.com/spreadsheets/d/1Yj_ptqi66GCucihVvJfMjLAmec39IyEx_6qawtMGysU/edit?usp=sharing"",""สบก!AN45"")"),0)</f>
        <v>0</v>
      </c>
      <c r="M99" s="169"/>
      <c r="N99" s="169"/>
      <c r="O99" s="170"/>
      <c r="P99" s="170"/>
    </row>
    <row r="100" spans="1:16" ht="21.75" customHeight="1" x14ac:dyDescent="0.25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IFERROR(__xludf.DUMMYFUNCTION("IMPORTRANGE(""https://docs.google.com/spreadsheets/d/1Yj_ptqi66GCucihVvJfMjLAmec39IyEx_6qawtMGysU/edit?usp=sharing"",""สบก!AO45"")"),122100)</f>
        <v>122100</v>
      </c>
      <c r="M100" s="169"/>
      <c r="N100" s="169"/>
      <c r="O100" s="170"/>
      <c r="P100" s="170"/>
    </row>
    <row r="101" spans="1:16" ht="21.75" customHeight="1" x14ac:dyDescent="0.3">
      <c r="A101" s="172"/>
      <c r="B101" s="80"/>
      <c r="C101" s="81" t="s">
        <v>16</v>
      </c>
      <c r="D101" s="552" t="s">
        <v>23</v>
      </c>
      <c r="E101" s="553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3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IFERROR(__xludf.DUMMYFUNCTION("IMPORTRANGE(""https://docs.google.com/spreadsheets/d/1Yj_ptqi66GCucihVvJfMjLAmec39IyEx_6qawtMGysU/edit?usp=sharing"",""สบก!AP45"")"),92400)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IFERROR(__xludf.DUMMYFUNCTION("IMPORTRANGE(""https://docs.google.com/spreadsheets/d/1Yj_ptqi66GCucihVvJfMjLAmec39IyEx_6qawtMGysU/edit?usp=sharing"",""สบก!AT45"")"),92400)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25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25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25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25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25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25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IFERROR(__xludf.DUMMYFUNCTION("IMPORTRANGE(""https://docs.google.com/spreadsheets/d/1XL5vhW3sbDhbH9Cz0tuDiY8C3ctxq1tqvaCgkFb8cCA/edit?usp=sharing"",""มหาสารคาม!I43"")"),1)</f>
        <v>1</v>
      </c>
      <c r="J108" s="205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25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IFERROR(__xludf.DUMMYFUNCTION("IMPORTRANGE(""https://docs.google.com/spreadsheets/d/1XL5vhW3sbDhbH9Cz0tuDiY8C3ctxq1tqvaCgkFb8cCA/edit?usp=sharing"",""มหาสารคาม!I44"")"),4)</f>
        <v>4</v>
      </c>
      <c r="J109" s="205">
        <f ca="1">IFERROR(__xludf.DUMMYFUNCTION("IMPORTRANGE(""https://docs.google.com/spreadsheets/d/1XL5vhW3sbDhbH9Cz0tuDiY8C3ctxq1tqvaCgkFb8cCA/edit?usp=sharing"",""มหาสารคาม!J44"")"),0)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25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IFERROR(__xludf.DUMMYFUNCTION("IMPORTRANGE(""https://docs.google.com/spreadsheets/d/1XL5vhW3sbDhbH9Cz0tuDiY8C3ctxq1tqvaCgkFb8cCA/edit?usp=sharing"",""มหาสารคาม!I45"")"),4)</f>
        <v>4</v>
      </c>
      <c r="J110" s="205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25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IFERROR(__xludf.DUMMYFUNCTION("IMPORTRANGE(""https://docs.google.com/spreadsheets/d/1XL5vhW3sbDhbH9Cz0tuDiY8C3ctxq1tqvaCgkFb8cCA/edit?usp=sharing"",""มหาสารคาม!I46"")"),4)</f>
        <v>4</v>
      </c>
      <c r="J111" s="205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25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IFERROR(__xludf.DUMMYFUNCTION("IMPORTRANGE(""https://docs.google.com/spreadsheets/d/1XL5vhW3sbDhbH9Cz0tuDiY8C3ctxq1tqvaCgkFb8cCA/edit?usp=sharing"",""มหาสารคาม!I47"")"),4)</f>
        <v>4</v>
      </c>
      <c r="J112" s="205">
        <f ca="1">IFERROR(__xludf.DUMMYFUNCTION("IMPORTRANGE(""https://docs.google.com/spreadsheets/d/1XL5vhW3sbDhbH9Cz0tuDiY8C3ctxq1tqvaCgkFb8cCA/edit?usp=sharing"",""มหาสารคาม!J47"")"),0)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25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IFERROR(__xludf.DUMMYFUNCTION("IMPORTRANGE(""https://docs.google.com/spreadsheets/d/1XL5vhW3sbDhbH9Cz0tuDiY8C3ctxq1tqvaCgkFb8cCA/edit?usp=sharing"",""มหาสารคาม!I48"")"),1)</f>
        <v>1</v>
      </c>
      <c r="J113" s="205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25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IFERROR(__xludf.DUMMYFUNCTION("IMPORTRANGE(""https://docs.google.com/spreadsheets/d/1XL5vhW3sbDhbH9Cz0tuDiY8C3ctxq1tqvaCgkFb8cCA/edit?usp=sharing"",""มหาสารคาม!J49"")"),0)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25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25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50" t="s">
        <v>17</v>
      </c>
      <c r="E118" s="551"/>
      <c r="F118" s="551"/>
      <c r="G118" s="551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25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25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IFERROR(__xludf.DUMMYFUNCTION("IMPORTRANGE(""https://docs.google.com/spreadsheets/d/1Yj_ptqi66GCucihVvJfMjLAmec39IyEx_6qawtMGysU/edit?usp=sharing"",""สบก!BA45"")"),0)</f>
        <v>0</v>
      </c>
      <c r="N122" s="538">
        <f ca="1">IFERROR(__xludf.DUMMYFUNCTION("IMPORTRANGE(""https://docs.google.com/spreadsheets/d/1Yj_ptqi66GCucihVvJfMjLAmec39IyEx_6qawtMGysU/edit?usp=sharing"",""สบก!BB45"")"),0)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IFERROR(__xludf.DUMMYFUNCTION("IMPORTRANGE(""https://docs.google.com/spreadsheets/d/1Yj_ptqi66GCucihVvJfMjLAmec39IyEx_6qawtMGysU/edit?usp=sharing"",""สบก!AW45"")"),0)</f>
        <v>0</v>
      </c>
      <c r="M123" s="169"/>
      <c r="N123" s="169"/>
      <c r="O123" s="170"/>
      <c r="P123" s="170"/>
    </row>
    <row r="124" spans="1:16" ht="21.75" customHeight="1" x14ac:dyDescent="0.25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IFERROR(__xludf.DUMMYFUNCTION("IMPORTRANGE(""https://docs.google.com/spreadsheets/d/1Yj_ptqi66GCucihVvJfMjLAmec39IyEx_6qawtMGysU/edit?usp=sharing"",""สบก!AX45"")"),0)</f>
        <v>0</v>
      </c>
      <c r="M124" s="169"/>
      <c r="N124" s="169"/>
      <c r="O124" s="170"/>
      <c r="P124" s="170"/>
    </row>
    <row r="125" spans="1:16" ht="21.75" customHeight="1" x14ac:dyDescent="0.3">
      <c r="A125" s="172"/>
      <c r="B125" s="80"/>
      <c r="C125" s="81" t="s">
        <v>16</v>
      </c>
      <c r="D125" s="552" t="s">
        <v>23</v>
      </c>
      <c r="E125" s="553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3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IFERROR(__xludf.DUMMYFUNCTION("IMPORTRANGE(""https://docs.google.com/spreadsheets/d/1Yj_ptqi66GCucihVvJfMjLAmec39IyEx_6qawtMGysU/edit?usp=sharing"",""สบก!AY45"")"),0)</f>
        <v>0</v>
      </c>
      <c r="M126" s="536"/>
      <c r="N126" s="533">
        <f ca="1">IFERROR(__xludf.DUMMYFUNCTION("IMPORTRANGE(""https://docs.google.com/spreadsheets/d/1Yj_ptqi66GCucihVvJfMjLAmec39IyEx_6qawtMGysU/edit?usp=sharing"",""สบก!BC45"")"),0)</f>
        <v>0</v>
      </c>
      <c r="O126" s="536">
        <f ca="1">IF(L126&gt;0,N126*100/L126,0)</f>
        <v>0</v>
      </c>
      <c r="P126" s="536"/>
    </row>
    <row r="127" spans="1:16" ht="21.75" customHeight="1" x14ac:dyDescent="0.25">
      <c r="A127" s="177"/>
      <c r="B127" s="178"/>
      <c r="C127" s="159" t="s">
        <v>16</v>
      </c>
      <c r="D127" s="234" t="s">
        <v>253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25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25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25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25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25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IFERROR(__xludf.DUMMYFUNCTION("IMPORTRANGE(""https://docs.google.com/spreadsheets/d/1XL5vhW3sbDhbH9Cz0tuDiY8C3ctxq1tqvaCgkFb8cCA/edit?usp=sharing"",""มหาสารคาม!I62"")"),0)</f>
        <v>0</v>
      </c>
      <c r="J132" s="205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25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IFERROR(__xludf.DUMMYFUNCTION("IMPORTRANGE(""https://docs.google.com/spreadsheets/d/1XL5vhW3sbDhbH9Cz0tuDiY8C3ctxq1tqvaCgkFb8cCA/edit?usp=sharing"",""มหาสารคาม!I63"")"),0)</f>
        <v>0</v>
      </c>
      <c r="J133" s="205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25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50" t="s">
        <v>17</v>
      </c>
      <c r="E140" s="551"/>
      <c r="F140" s="551"/>
      <c r="G140" s="551"/>
      <c r="H140" s="149" t="s">
        <v>12</v>
      </c>
      <c r="I140" s="164"/>
      <c r="J140" s="164"/>
      <c r="K140" s="165"/>
      <c r="L140" s="152">
        <f t="shared" ref="L140:N140" ca="1" si="64">L141+L142</f>
        <v>97500</v>
      </c>
      <c r="M140" s="152">
        <f t="shared" ca="1" si="64"/>
        <v>67750</v>
      </c>
      <c r="N140" s="152">
        <f t="shared" ca="1" si="64"/>
        <v>48870</v>
      </c>
      <c r="O140" s="151">
        <f t="shared" ref="O140:O142" ca="1" si="65">IF(L140&gt;0,N140*100/L140,0)</f>
        <v>50.123076923076923</v>
      </c>
      <c r="P140" s="151">
        <f t="shared" ref="P140:P142" ca="1" si="66">IF(M140&gt;0,N140*100/M140,0)</f>
        <v>72.132841328413278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97500</v>
      </c>
      <c r="M142" s="157">
        <f t="shared" ca="1" si="68"/>
        <v>67750</v>
      </c>
      <c r="N142" s="157">
        <f t="shared" ca="1" si="68"/>
        <v>48870</v>
      </c>
      <c r="O142" s="156">
        <f t="shared" ca="1" si="65"/>
        <v>50.123076923076923</v>
      </c>
      <c r="P142" s="156">
        <f t="shared" ca="1" si="66"/>
        <v>72.132841328413278</v>
      </c>
    </row>
    <row r="143" spans="1:16" ht="21.75" customHeight="1" x14ac:dyDescent="0.25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25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97500</v>
      </c>
      <c r="M144" s="537">
        <f ca="1">IFERROR(__xludf.DUMMYFUNCTION("IMPORTRANGE(""https://docs.google.com/spreadsheets/d/1Yj_ptqi66GCucihVvJfMjLAmec39IyEx_6qawtMGysU/edit?usp=sharing"",""สบก!BJ45"")"),67750)</f>
        <v>67750</v>
      </c>
      <c r="N144" s="538">
        <f ca="1">IFERROR(__xludf.DUMMYFUNCTION("IMPORTRANGE(""https://docs.google.com/spreadsheets/d/1Yj_ptqi66GCucihVvJfMjLAmec39IyEx_6qawtMGysU/edit?usp=sharing"",""สบก!BK45"")"),48870)</f>
        <v>48870</v>
      </c>
      <c r="O144" s="170">
        <f ca="1">IF(L144&gt;0,N144*100/L144,0)</f>
        <v>50.123076923076923</v>
      </c>
      <c r="P144" s="170">
        <f ca="1">IF(M144&gt;0,N144*100/M144,0)</f>
        <v>72.132841328413278</v>
      </c>
    </row>
    <row r="145" spans="1:16" ht="21.75" customHeight="1" x14ac:dyDescent="0.25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IFERROR(__xludf.DUMMYFUNCTION("IMPORTRANGE(""https://docs.google.com/spreadsheets/d/1Yj_ptqi66GCucihVvJfMjLAmec39IyEx_6qawtMGysU/edit?usp=sharing"",""สบก!BF45"")"),0)</f>
        <v>0</v>
      </c>
      <c r="M145" s="169"/>
      <c r="N145" s="169"/>
      <c r="O145" s="170"/>
      <c r="P145" s="170"/>
    </row>
    <row r="146" spans="1:16" ht="21.75" customHeight="1" x14ac:dyDescent="0.25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IFERROR(__xludf.DUMMYFUNCTION("IMPORTRANGE(""https://docs.google.com/spreadsheets/d/1Yj_ptqi66GCucihVvJfMjLAmec39IyEx_6qawtMGysU/edit?usp=sharing"",""สบก!BG45"")"),97500)</f>
        <v>97500</v>
      </c>
      <c r="M146" s="169"/>
      <c r="N146" s="169"/>
      <c r="O146" s="170"/>
      <c r="P146" s="170"/>
    </row>
    <row r="147" spans="1:16" ht="21.75" customHeight="1" x14ac:dyDescent="0.3">
      <c r="A147" s="172"/>
      <c r="B147" s="80"/>
      <c r="C147" s="81" t="s">
        <v>16</v>
      </c>
      <c r="D147" s="552" t="s">
        <v>23</v>
      </c>
      <c r="E147" s="553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3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IFERROR(__xludf.DUMMYFUNCTION("IMPORTRANGE(""https://docs.google.com/spreadsheets/d/1Yj_ptqi66GCucihVvJfMjLAmec39IyEx_6qawtMGysU/edit?usp=sharing"",""สบก!BH45"")"),0)</f>
        <v>0</v>
      </c>
      <c r="M148" s="536"/>
      <c r="N148" s="533">
        <f ca="1">IFERROR(__xludf.DUMMYFUNCTION("IMPORTRANGE(""https://docs.google.com/spreadsheets/d/1Yj_ptqi66GCucihVvJfMjLAmec39IyEx_6qawtMGysU/edit?usp=sharing"",""สบก!BL45"")"),0)</f>
        <v>0</v>
      </c>
      <c r="O148" s="536">
        <f ca="1">IF(L148&gt;0,N148*100/L148,0)</f>
        <v>0</v>
      </c>
      <c r="P148" s="536"/>
    </row>
    <row r="149" spans="1:16" ht="21.75" customHeight="1" x14ac:dyDescent="0.25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25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25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25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25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IFERROR(__xludf.DUMMYFUNCTION("IMPORTRANGE(""https://docs.google.com/spreadsheets/d/1XL5vhW3sbDhbH9Cz0tuDiY8C3ctxq1tqvaCgkFb8cCA/edit?usp=sharing"",""มหาสารคาม!J79"")"),0)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25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IFERROR(__xludf.DUMMYFUNCTION("IMPORTRANGE(""https://docs.google.com/spreadsheets/d/1XL5vhW3sbDhbH9Cz0tuDiY8C3ctxq1tqvaCgkFb8cCA/edit?usp=sharing"",""มหาสารคาม!J80"")"),1)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25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IFERROR(__xludf.DUMMYFUNCTION("IMPORTRANGE(""https://docs.google.com/spreadsheets/d/1XL5vhW3sbDhbH9Cz0tuDiY8C3ctxq1tqvaCgkFb8cCA/edit?usp=sharing"",""มหาสารคาม!J81"")"),1)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25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IFERROR(__xludf.DUMMYFUNCTION("IMPORTRANGE(""https://docs.google.com/spreadsheets/d/1XL5vhW3sbDhbH9Cz0tuDiY8C3ctxq1tqvaCgkFb8cCA/edit?usp=sharing"",""มหาสารคาม!J82"")"),1)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25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IFERROR(__xludf.DUMMYFUNCTION("IMPORTRANGE(""https://docs.google.com/spreadsheets/d/1XL5vhW3sbDhbH9Cz0tuDiY8C3ctxq1tqvaCgkFb8cCA/edit?usp=sharing"",""มหาสารคาม!I83"")"),4)</f>
        <v>4</v>
      </c>
      <c r="J158" s="190">
        <f ca="1">IFERROR(__xludf.DUMMYFUNCTION("IMPORTRANGE(""https://docs.google.com/spreadsheets/d/1XL5vhW3sbDhbH9Cz0tuDiY8C3ctxq1tqvaCgkFb8cCA/edit?usp=sharing"",""มหาสารคาม!J83"")"),1)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25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IFERROR(__xludf.DUMMYFUNCTION("IMPORTRANGE(""https://docs.google.com/spreadsheets/d/1XL5vhW3sbDhbH9Cz0tuDiY8C3ctxq1tqvaCgkFb8cCA/edit?usp=sharing"",""มหาสารคาม!J84"")"),2)</f>
        <v>2</v>
      </c>
      <c r="K159" s="165"/>
      <c r="L159" s="183"/>
      <c r="M159" s="183"/>
      <c r="N159" s="183"/>
      <c r="O159" s="183"/>
      <c r="P159" s="183"/>
    </row>
    <row r="160" spans="1:16" ht="21.75" customHeight="1" x14ac:dyDescent="0.3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IFERROR(__xludf.DUMMYFUNCTION("IMPORTRANGE(""https://docs.google.com/spreadsheets/d/1XL5vhW3sbDhbH9Cz0tuDiY8C3ctxq1tqvaCgkFb8cCA/edit?usp=sharing"",""มหาสารคาม!J85"")"),2)</f>
        <v>2</v>
      </c>
      <c r="K160" s="165"/>
      <c r="L160" s="183"/>
      <c r="M160" s="183"/>
      <c r="N160" s="183"/>
      <c r="O160" s="183"/>
      <c r="P160" s="183"/>
    </row>
    <row r="161" spans="1:16" ht="21.75" customHeight="1" x14ac:dyDescent="0.3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IFERROR(__xludf.DUMMYFUNCTION("IMPORTRANGE(""https://docs.google.com/spreadsheets/d/1XL5vhW3sbDhbH9Cz0tuDiY8C3ctxq1tqvaCgkFb8cCA/edit?usp=sharing"",""มหาสารคาม!J86"")"),0)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25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IFERROR(__xludf.DUMMYFUNCTION("IMPORTRANGE(""https://docs.google.com/spreadsheets/d/1XL5vhW3sbDhbH9Cz0tuDiY8C3ctxq1tqvaCgkFb8cCA/edit?usp=sharing"",""มหาสารคาม!J87"")"),0)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25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IFERROR(__xludf.DUMMYFUNCTION("IMPORTRANGE(""https://docs.google.com/spreadsheets/d/1XL5vhW3sbDhbH9Cz0tuDiY8C3ctxq1tqvaCgkFb8cCA/edit?usp=sharing"",""มหาสารคาม!I89"")"),4)</f>
        <v>4</v>
      </c>
      <c r="J164" s="284">
        <f ca="1">IFERROR(__xludf.DUMMYFUNCTION("IMPORTRANGE(""https://docs.google.com/spreadsheets/d/1XL5vhW3sbDhbH9Cz0tuDiY8C3ctxq1tqvaCgkFb8cCA/edit?usp=sharing"",""มหาสารคาม!J89"")"),0)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25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25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25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25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IFERROR(__xludf.DUMMYFUNCTION("IMPORTRANGE(""https://docs.google.com/spreadsheets/d/1XL5vhW3sbDhbH9Cz0tuDiY8C3ctxq1tqvaCgkFb8cCA/edit?usp=sharing"",""มหาสารคาม!J94"")"),0)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25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IFERROR(__xludf.DUMMYFUNCTION("IMPORTRANGE(""https://docs.google.com/spreadsheets/d/1XL5vhW3sbDhbH9Cz0tuDiY8C3ctxq1tqvaCgkFb8cCA/edit?usp=sharing"",""มหาสารคาม!J95"")"),1)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25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IFERROR(__xludf.DUMMYFUNCTION("IMPORTRANGE(""https://docs.google.com/spreadsheets/d/1XL5vhW3sbDhbH9Cz0tuDiY8C3ctxq1tqvaCgkFb8cCA/edit?usp=sharing"",""มหาสารคาม!J96"")"),1)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25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IFERROR(__xludf.DUMMYFUNCTION("IMPORTRANGE(""https://docs.google.com/spreadsheets/d/1XL5vhW3sbDhbH9Cz0tuDiY8C3ctxq1tqvaCgkFb8cCA/edit?usp=sharing"",""มหาสารคาม!J97"")"),0)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25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IFERROR(__xludf.DUMMYFUNCTION("IMPORTRANGE(""https://docs.google.com/spreadsheets/d/1XL5vhW3sbDhbH9Cz0tuDiY8C3ctxq1tqvaCgkFb8cCA/edit?usp=sharing"",""มหาสารคาม!I98"")"),4)</f>
        <v>4</v>
      </c>
      <c r="J173" s="190">
        <f ca="1">IFERROR(__xludf.DUMMYFUNCTION("IMPORTRANGE(""https://docs.google.com/spreadsheets/d/1XL5vhW3sbDhbH9Cz0tuDiY8C3ctxq1tqvaCgkFb8cCA/edit?usp=sharing"",""มหาสารคาม!J98"")"),0)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25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IFERROR(__xludf.DUMMYFUNCTION("IMPORTRANGE(""https://docs.google.com/spreadsheets/d/1XL5vhW3sbDhbH9Cz0tuDiY8C3ctxq1tqvaCgkFb8cCA/edit?usp=sharing"",""มหาสารคาม!J99"")"),0)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25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IFERROR(__xludf.DUMMYFUNCTION("IMPORTRANGE(""https://docs.google.com/spreadsheets/d/1XL5vhW3sbDhbH9Cz0tuDiY8C3ctxq1tqvaCgkFb8cCA/edit?usp=sharing"",""มหาสารคาม!I101"")"),0)</f>
        <v>0</v>
      </c>
      <c r="J176" s="284">
        <f ca="1">IFERROR(__xludf.DUMMYFUNCTION("IMPORTRANGE(""https://docs.google.com/spreadsheets/d/1XL5vhW3sbDhbH9Cz0tuDiY8C3ctxq1tqvaCgkFb8cCA/edit?usp=sharing"",""มหาสารคาม!J101"")"),0)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25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25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25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25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25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25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25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25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IFERROR(__xludf.DUMMYFUNCTION("IMPORTRANGE(""https://docs.google.com/spreadsheets/d/1XL5vhW3sbDhbH9Cz0tuDiY8C3ctxq1tqvaCgkFb8cCA/edit?usp=sharing"",""มหาสารคาม!I110"")"),0)</f>
        <v>0</v>
      </c>
      <c r="J185" s="205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25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IFERROR(__xludf.DUMMYFUNCTION("IMPORTRANGE(""https://docs.google.com/spreadsheets/d/1XL5vhW3sbDhbH9Cz0tuDiY8C3ctxq1tqvaCgkFb8cCA/edit?usp=sharing"",""มหาสารคาม!I111"")"),0)</f>
        <v>0</v>
      </c>
      <c r="J186" s="205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25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25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IFERROR(__xludf.DUMMYFUNCTION("IMPORTRANGE(""https://docs.google.com/spreadsheets/d/1XL5vhW3sbDhbH9Cz0tuDiY8C3ctxq1tqvaCgkFb8cCA/edit?usp=sharing"",""มหาสารคาม!I114"")"),100000)</f>
        <v>100000</v>
      </c>
      <c r="J189" s="284">
        <f ca="1">IFERROR(__xludf.DUMMYFUNCTION("IMPORTRANGE(""https://docs.google.com/spreadsheets/d/1XL5vhW3sbDhbH9Cz0tuDiY8C3ctxq1tqvaCgkFb8cCA/edit?usp=sharing"",""มหาสารคาม!J114"")"),0)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25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25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25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25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IFERROR(__xludf.DUMMYFUNCTION("IMPORTRANGE(""https://docs.google.com/spreadsheets/d/1XL5vhW3sbDhbH9Cz0tuDiY8C3ctxq1tqvaCgkFb8cCA/edit?usp=sharing"",""มหาสารคาม!J119"")"),0)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25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IFERROR(__xludf.DUMMYFUNCTION("IMPORTRANGE(""https://docs.google.com/spreadsheets/d/1XL5vhW3sbDhbH9Cz0tuDiY8C3ctxq1tqvaCgkFb8cCA/edit?usp=sharing"",""มหาสารคาม!J120"")"),1)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25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IFERROR(__xludf.DUMMYFUNCTION("IMPORTRANGE(""https://docs.google.com/spreadsheets/d/1XL5vhW3sbDhbH9Cz0tuDiY8C3ctxq1tqvaCgkFb8cCA/edit?usp=sharing"",""มหาสารคาม!J121"")"),1)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25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IFERROR(__xludf.DUMMYFUNCTION("IMPORTRANGE(""https://docs.google.com/spreadsheets/d/1XL5vhW3sbDhbH9Cz0tuDiY8C3ctxq1tqvaCgkFb8cCA/edit?usp=sharing"",""มหาสารคาม!J122"")"),0)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25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25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IFERROR(__xludf.DUMMYFUNCTION("IMPORTRANGE(""https://docs.google.com/spreadsheets/d/1XL5vhW3sbDhbH9Cz0tuDiY8C3ctxq1tqvaCgkFb8cCA/edit?usp=sharing"",""มหาสารคาม!I124"")"),100000)</f>
        <v>100000</v>
      </c>
      <c r="J199" s="190">
        <f ca="1">IFERROR(__xludf.DUMMYFUNCTION("IMPORTRANGE(""https://docs.google.com/spreadsheets/d/1XL5vhW3sbDhbH9Cz0tuDiY8C3ctxq1tqvaCgkFb8cCA/edit?usp=sharing"",""มหาสารคาม!J124"")"),0)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25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IFERROR(__xludf.DUMMYFUNCTION("IMPORTRANGE(""https://docs.google.com/spreadsheets/d/1XL5vhW3sbDhbH9Cz0tuDiY8C3ctxq1tqvaCgkFb8cCA/edit?usp=sharing"",""มหาสารคาม!I125"")"),100000)</f>
        <v>100000</v>
      </c>
      <c r="J200" s="190">
        <f ca="1">IFERROR(__xludf.DUMMYFUNCTION("IMPORTRANGE(""https://docs.google.com/spreadsheets/d/1XL5vhW3sbDhbH9Cz0tuDiY8C3ctxq1tqvaCgkFb8cCA/edit?usp=sharing"",""มหาสารคาม!J125"")"),0)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25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IFERROR(__xludf.DUMMYFUNCTION("IMPORTRANGE(""https://docs.google.com/spreadsheets/d/1XL5vhW3sbDhbH9Cz0tuDiY8C3ctxq1tqvaCgkFb8cCA/edit?usp=sharing"",""มหาสารคาม!I126"")"),0)</f>
        <v>0</v>
      </c>
      <c r="J201" s="190">
        <f ca="1">IFERROR(__xludf.DUMMYFUNCTION("IMPORTRANGE(""https://docs.google.com/spreadsheets/d/1XL5vhW3sbDhbH9Cz0tuDiY8C3ctxq1tqvaCgkFb8cCA/edit?usp=sharing"",""มหาสารคาม!J126"")"),0)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25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IFERROR(__xludf.DUMMYFUNCTION("IMPORTRANGE(""https://docs.google.com/spreadsheets/d/1XL5vhW3sbDhbH9Cz0tuDiY8C3ctxq1tqvaCgkFb8cCA/edit?usp=sharing"",""มหาสารคาม!J127"")"),0)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IFERROR(__xludf.DUMMYFUNCTION("IMPORTRANGE(""https://docs.google.com/spreadsheets/d/1XL5vhW3sbDhbH9Cz0tuDiY8C3ctxq1tqvaCgkFb8cCA/edit?usp=sharing"",""มหาสารคาม!J128"")"),0)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IFERROR(__xludf.DUMMYFUNCTION("IMPORTRANGE(""https://docs.google.com/spreadsheets/d/1XL5vhW3sbDhbH9Cz0tuDiY8C3ctxq1tqvaCgkFb8cCA/edit?usp=sharing"",""มหาสารคาม!I129"")"),0)</f>
        <v>0</v>
      </c>
      <c r="J204" s="284">
        <f ca="1">IFERROR(__xludf.DUMMYFUNCTION("IMPORTRANGE(""https://docs.google.com/spreadsheets/d/1XL5vhW3sbDhbH9Cz0tuDiY8C3ctxq1tqvaCgkFb8cCA/edit?usp=sharing"",""มหาสารคาม!J129"")"),0)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25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25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25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25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25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25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25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25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IFERROR(__xludf.DUMMYFUNCTION("IMPORTRANGE(""https://docs.google.com/spreadsheets/d/1XL5vhW3sbDhbH9Cz0tuDiY8C3ctxq1tqvaCgkFb8cCA/edit?usp=sharing"",""มหาสารคาม!I138"")"),0)</f>
        <v>0</v>
      </c>
      <c r="J213" s="205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25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25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IFERROR(__xludf.DUMMYFUNCTION("IMPORTRANGE(""https://docs.google.com/spreadsheets/d/1XL5vhW3sbDhbH9Cz0tuDiY8C3ctxq1tqvaCgkFb8cCA/edit?usp=sharing"",""มหาสารคาม!I140"")"),0)</f>
        <v>0</v>
      </c>
      <c r="J215" s="205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25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IFERROR(__xludf.DUMMYFUNCTION("IMPORTRANGE(""https://docs.google.com/spreadsheets/d/1XL5vhW3sbDhbH9Cz0tuDiY8C3ctxq1tqvaCgkFb8cCA/edit?usp=sharing"",""มหาสารคาม!I141"")"),0)</f>
        <v>0</v>
      </c>
      <c r="J216" s="205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25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50" t="s">
        <v>17</v>
      </c>
      <c r="E220" s="551"/>
      <c r="F220" s="551"/>
      <c r="G220" s="551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14960</v>
      </c>
      <c r="O220" s="151">
        <f t="shared" ref="O220:O222" ca="1" si="73">IF(L220&gt;0,N220*100/L220,0)</f>
        <v>74.022761009401293</v>
      </c>
      <c r="P220" s="151">
        <f t="shared" ref="P220:P222" ca="1" si="74">IF(M220&gt;0,N220*100/M220,0)</f>
        <v>74.022761009401293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14960</v>
      </c>
      <c r="O222" s="156">
        <f t="shared" ca="1" si="73"/>
        <v>74.022761009401293</v>
      </c>
      <c r="P222" s="156">
        <f t="shared" ca="1" si="74"/>
        <v>74.022761009401293</v>
      </c>
    </row>
    <row r="223" spans="1:16" ht="21.75" customHeight="1" x14ac:dyDescent="0.25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25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IFERROR(__xludf.DUMMYFUNCTION("IMPORTRANGE(""https://docs.google.com/spreadsheets/d/1Yj_ptqi66GCucihVvJfMjLAmec39IyEx_6qawtMGysU/edit?usp=sharing"",""สบก!BS45"")"),20210)</f>
        <v>20210</v>
      </c>
      <c r="N224" s="538">
        <f ca="1">IFERROR(__xludf.DUMMYFUNCTION("IMPORTRANGE(""https://docs.google.com/spreadsheets/d/1Yj_ptqi66GCucihVvJfMjLAmec39IyEx_6qawtMGysU/edit?usp=sharing"",""สบก!BT45"")"),14960)</f>
        <v>14960</v>
      </c>
      <c r="O224" s="170">
        <f ca="1">IF(L224&gt;0,N224*100/L224,0)</f>
        <v>74.022761009401293</v>
      </c>
      <c r="P224" s="170">
        <f ca="1">IF(M224&gt;0,N224*100/M224,0)</f>
        <v>74.022761009401293</v>
      </c>
    </row>
    <row r="225" spans="1:16" ht="21.75" customHeight="1" x14ac:dyDescent="0.25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IFERROR(__xludf.DUMMYFUNCTION("IMPORTRANGE(""https://docs.google.com/spreadsheets/d/1Yj_ptqi66GCucihVvJfMjLAmec39IyEx_6qawtMGysU/edit?usp=sharing"",""สบก!BO45"")"),0)</f>
        <v>0</v>
      </c>
      <c r="M225" s="169"/>
      <c r="N225" s="169"/>
      <c r="O225" s="170"/>
      <c r="P225" s="170"/>
    </row>
    <row r="226" spans="1:16" ht="21.75" customHeight="1" x14ac:dyDescent="0.25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IFERROR(__xludf.DUMMYFUNCTION("IMPORTRANGE(""https://docs.google.com/spreadsheets/d/1Yj_ptqi66GCucihVvJfMjLAmec39IyEx_6qawtMGysU/edit?usp=sharing"",""สบก!BP45"")"),20210)</f>
        <v>20210</v>
      </c>
      <c r="M226" s="169"/>
      <c r="N226" s="169"/>
      <c r="O226" s="170"/>
      <c r="P226" s="170"/>
    </row>
    <row r="227" spans="1:16" ht="21.75" customHeight="1" x14ac:dyDescent="0.3">
      <c r="A227" s="172"/>
      <c r="B227" s="80"/>
      <c r="C227" s="81" t="s">
        <v>16</v>
      </c>
      <c r="D227" s="552" t="s">
        <v>23</v>
      </c>
      <c r="E227" s="553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3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IFERROR(__xludf.DUMMYFUNCTION("IMPORTRANGE(""https://docs.google.com/spreadsheets/d/1Yj_ptqi66GCucihVvJfMjLAmec39IyEx_6qawtMGysU/edit?usp=sharing"",""สบก!BQ45"")"),0)</f>
        <v>0</v>
      </c>
      <c r="M228" s="536"/>
      <c r="N228" s="533">
        <f ca="1">IFERROR(__xludf.DUMMYFUNCTION("IMPORTRANGE(""https://docs.google.com/spreadsheets/d/1Yj_ptqi66GCucihVvJfMjLAmec39IyEx_6qawtMGysU/edit?usp=sharing"",""สบก!BU45"")"),0)</f>
        <v>0</v>
      </c>
      <c r="O228" s="536">
        <f ca="1">IF(L228&gt;0,N228*100/L228,0)</f>
        <v>0</v>
      </c>
      <c r="P228" s="536"/>
    </row>
    <row r="229" spans="1:16" ht="21.75" customHeight="1" x14ac:dyDescent="0.25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25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IFERROR(__xludf.DUMMYFUNCTION("IMPORTRANGE(""https://docs.google.com/spreadsheets/d/1XL5vhW3sbDhbH9Cz0tuDiY8C3ctxq1tqvaCgkFb8cCA/edit?usp=sharing"",""มหาสารคาม!J151"")"),0)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25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IFERROR(__xludf.DUMMYFUNCTION("IMPORTRANGE(""https://docs.google.com/spreadsheets/d/1XL5vhW3sbDhbH9Cz0tuDiY8C3ctxq1tqvaCgkFb8cCA/edit?usp=sharing"",""มหาสารคาม!J152"")"),1)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25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IFERROR(__xludf.DUMMYFUNCTION("IMPORTRANGE(""https://docs.google.com/spreadsheets/d/1XL5vhW3sbDhbH9Cz0tuDiY8C3ctxq1tqvaCgkFb8cCA/edit?usp=sharing"",""มหาสารคาม!J153"")"),1)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25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IFERROR(__xludf.DUMMYFUNCTION("IMPORTRANGE(""https://docs.google.com/spreadsheets/d/1XL5vhW3sbDhbH9Cz0tuDiY8C3ctxq1tqvaCgkFb8cCA/edit?usp=sharing"",""มหาสารคาม!J154"")"),1)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25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IFERROR(__xludf.DUMMYFUNCTION("IMPORTRANGE(""https://docs.google.com/spreadsheets/d/1XL5vhW3sbDhbH9Cz0tuDiY8C3ctxq1tqvaCgkFb8cCA/edit?usp=sharing"",""มหาสารคาม!I155"")"),14)</f>
        <v>14</v>
      </c>
      <c r="J235" s="190">
        <f ca="1">IFERROR(__xludf.DUMMYFUNCTION("IMPORTRANGE(""https://docs.google.com/spreadsheets/d/1XL5vhW3sbDhbH9Cz0tuDiY8C3ctxq1tqvaCgkFb8cCA/edit?usp=sharing"",""มหาสารคาม!J155"")"),14)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25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IFERROR(__xludf.DUMMYFUNCTION("IMPORTRANGE(""https://docs.google.com/spreadsheets/d/1XL5vhW3sbDhbH9Cz0tuDiY8C3ctxq1tqvaCgkFb8cCA/edit?usp=sharing"",""มหาสารคาม!J156"")"),0)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25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IFERROR(__xludf.DUMMYFUNCTION("IMPORTRANGE(""https://docs.google.com/spreadsheets/d/1XL5vhW3sbDhbH9Cz0tuDiY8C3ctxq1tqvaCgkFb8cCA/edit?usp=sharing"",""มหาสารคาม!J157"")"),0)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25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25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25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IFERROR(__xludf.DUMMYFUNCTION("IMPORTRANGE(""https://docs.google.com/spreadsheets/d/1XL5vhW3sbDhbH9Cz0tuDiY8C3ctxq1tqvaCgkFb8cCA/edit?usp=sharing"",""มหาสารคาม!J159"")"),"")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25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IFERROR(__xludf.DUMMYFUNCTION("IMPORTRANGE(""https://docs.google.com/spreadsheets/d/1XL5vhW3sbDhbH9Cz0tuDiY8C3ctxq1tqvaCgkFb8cCA/edit?usp=sharing"",""มหาสารคาม!J161"")"),0)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25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IFERROR(__xludf.DUMMYFUNCTION("IMPORTRANGE(""https://docs.google.com/spreadsheets/d/1XL5vhW3sbDhbH9Cz0tuDiY8C3ctxq1tqvaCgkFb8cCA/edit?usp=sharing"",""มหาสารคาม!J162"")"),0)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25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IFERROR(__xludf.DUMMYFUNCTION("IMPORTRANGE(""https://docs.google.com/spreadsheets/d/1XL5vhW3sbDhbH9Cz0tuDiY8C3ctxq1tqvaCgkFb8cCA/edit?usp=sharing"",""มหาสารคาม!J163"")"),0)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25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IFERROR(__xludf.DUMMYFUNCTION("IMPORTRANGE(""https://docs.google.com/spreadsheets/d/1XL5vhW3sbDhbH9Cz0tuDiY8C3ctxq1tqvaCgkFb8cCA/edit?usp=sharing"",""มหาสารคาม!I164"")"),0)</f>
        <v>0</v>
      </c>
      <c r="J244" s="189">
        <f ca="1">IFERROR(__xludf.DUMMYFUNCTION("IMPORTRANGE(""https://docs.google.com/spreadsheets/d/1XL5vhW3sbDhbH9Cz0tuDiY8C3ctxq1tqvaCgkFb8cCA/edit?usp=sharing"",""มหาสารคาม!J164"")"),0)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25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IFERROR(__xludf.DUMMYFUNCTION("IMPORTRANGE(""https://docs.google.com/spreadsheets/d/1XL5vhW3sbDhbH9Cz0tuDiY8C3ctxq1tqvaCgkFb8cCA/edit?usp=sharing"",""มหาสารคาม!J165"")"),0)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IFERROR(__xludf.DUMMYFUNCTION("IMPORTRANGE(""https://docs.google.com/spreadsheets/d/1XL5vhW3sbDhbH9Cz0tuDiY8C3ctxq1tqvaCgkFb8cCA/edit?usp=sharing"",""มหาสารคาม!I169"")"),0)</f>
        <v>0</v>
      </c>
      <c r="J249" s="316">
        <f ca="1">IFERROR(__xludf.DUMMYFUNCTION("IMPORTRANGE(""https://docs.google.com/spreadsheets/d/1XL5vhW3sbDhbH9Cz0tuDiY8C3ctxq1tqvaCgkFb8cCA/edit?usp=sharing"",""มหาสารคาม!J169"")"),0)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50" t="s">
        <v>17</v>
      </c>
      <c r="E250" s="551"/>
      <c r="F250" s="551"/>
      <c r="G250" s="551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25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25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IFERROR(__xludf.DUMMYFUNCTION("IMPORTRANGE(""https://docs.google.com/spreadsheets/d/1Yj_ptqi66GCucihVvJfMjLAmec39IyEx_6qawtMGysU/edit?usp=sharing"",""สบก!CB45"")"),0)</f>
        <v>0</v>
      </c>
      <c r="N254" s="538">
        <f ca="1">IFERROR(__xludf.DUMMYFUNCTION("IMPORTRANGE(""https://docs.google.com/spreadsheets/d/1Yj_ptqi66GCucihVvJfMjLAmec39IyEx_6qawtMGysU/edit?usp=sharing"",""สบก!CC45"")"),0)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IFERROR(__xludf.DUMMYFUNCTION("IMPORTRANGE(""https://docs.google.com/spreadsheets/d/1Yj_ptqi66GCucihVvJfMjLAmec39IyEx_6qawtMGysU/edit?usp=sharing"",""สบก!BX45"")"),0)</f>
        <v>0</v>
      </c>
      <c r="M255" s="169"/>
      <c r="N255" s="169"/>
      <c r="O255" s="170"/>
      <c r="P255" s="170"/>
    </row>
    <row r="256" spans="1:16" ht="21.75" customHeight="1" x14ac:dyDescent="0.25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IFERROR(__xludf.DUMMYFUNCTION("IMPORTRANGE(""https://docs.google.com/spreadsheets/d/1Yj_ptqi66GCucihVvJfMjLAmec39IyEx_6qawtMGysU/edit?usp=sharing"",""สบก!BY45"")"),0)</f>
        <v>0</v>
      </c>
      <c r="M256" s="169"/>
      <c r="N256" s="169"/>
      <c r="O256" s="170"/>
      <c r="P256" s="170"/>
    </row>
    <row r="257" spans="1:16" ht="21.75" customHeight="1" x14ac:dyDescent="0.3">
      <c r="A257" s="172"/>
      <c r="B257" s="80"/>
      <c r="C257" s="81" t="s">
        <v>16</v>
      </c>
      <c r="D257" s="552" t="s">
        <v>23</v>
      </c>
      <c r="E257" s="553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3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IFERROR(__xludf.DUMMYFUNCTION("IMPORTRANGE(""https://docs.google.com/spreadsheets/d/1Yj_ptqi66GCucihVvJfMjLAmec39IyEx_6qawtMGysU/edit?usp=sharing"",""สบก!BZ45"")"),0)</f>
        <v>0</v>
      </c>
      <c r="M258" s="536"/>
      <c r="N258" s="533">
        <f ca="1">IFERROR(__xludf.DUMMYFUNCTION("IMPORTRANGE(""https://docs.google.com/spreadsheets/d/1Yj_ptqi66GCucihVvJfMjLAmec39IyEx_6qawtMGysU/edit?usp=sharing"",""สบก!CD45"")"),0)</f>
        <v>0</v>
      </c>
      <c r="O258" s="536">
        <f ca="1">IF(L258&gt;0,N258*100/L258,0)</f>
        <v>0</v>
      </c>
      <c r="P258" s="536"/>
    </row>
    <row r="259" spans="1:16" ht="21.75" customHeight="1" x14ac:dyDescent="0.25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25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IFERROR(__xludf.DUMMYFUNCTION("IMPORTRANGE(""https://docs.google.com/spreadsheets/d/1XL5vhW3sbDhbH9Cz0tuDiY8C3ctxq1tqvaCgkFb8cCA/edit?usp=sharing"",""มหาสารคาม!J175"")"),0)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25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IFERROR(__xludf.DUMMYFUNCTION("IMPORTRANGE(""https://docs.google.com/spreadsheets/d/1XL5vhW3sbDhbH9Cz0tuDiY8C3ctxq1tqvaCgkFb8cCA/edit?usp=sharing"",""มหาสารคาม!J176"")"),0)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25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IFERROR(__xludf.DUMMYFUNCTION("IMPORTRANGE(""https://docs.google.com/spreadsheets/d/1XL5vhW3sbDhbH9Cz0tuDiY8C3ctxq1tqvaCgkFb8cCA/edit?usp=sharing"",""มหาสารคาม!J177"")"),0)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25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IFERROR(__xludf.DUMMYFUNCTION("IMPORTRANGE(""https://docs.google.com/spreadsheets/d/1XL5vhW3sbDhbH9Cz0tuDiY8C3ctxq1tqvaCgkFb8cCA/edit?usp=sharing"",""มหาสารคาม!J178"")"),0)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25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IFERROR(__xludf.DUMMYFUNCTION("IMPORTRANGE(""https://docs.google.com/spreadsheets/d/1XL5vhW3sbDhbH9Cz0tuDiY8C3ctxq1tqvaCgkFb8cCA/edit?usp=sharing"",""มหาสารคาม!I179"")"),0)</f>
        <v>0</v>
      </c>
      <c r="J264" s="190">
        <f ca="1">IFERROR(__xludf.DUMMYFUNCTION("IMPORTRANGE(""https://docs.google.com/spreadsheets/d/1XL5vhW3sbDhbH9Cz0tuDiY8C3ctxq1tqvaCgkFb8cCA/edit?usp=sharing"",""มหาสารคาม!J179"")"),0)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25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IFERROR(__xludf.DUMMYFUNCTION("IMPORTRANGE(""https://docs.google.com/spreadsheets/d/1XL5vhW3sbDhbH9Cz0tuDiY8C3ctxq1tqvaCgkFb8cCA/edit?usp=sharing"",""มหาสารคาม!I180"")"),0)</f>
        <v>0</v>
      </c>
      <c r="J265" s="190">
        <f ca="1">IFERROR(__xludf.DUMMYFUNCTION("IMPORTRANGE(""https://docs.google.com/spreadsheets/d/1XL5vhW3sbDhbH9Cz0tuDiY8C3ctxq1tqvaCgkFb8cCA/edit?usp=sharing"",""มหาสารคาม!J180"")"),0)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25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IFERROR(__xludf.DUMMYFUNCTION("IMPORTRANGE(""https://docs.google.com/spreadsheets/d/1XL5vhW3sbDhbH9Cz0tuDiY8C3ctxq1tqvaCgkFb8cCA/edit?usp=sharing"",""มหาสารคาม!I181"")"),0)</f>
        <v>0</v>
      </c>
      <c r="J266" s="190">
        <f ca="1">IFERROR(__xludf.DUMMYFUNCTION("IMPORTRANGE(""https://docs.google.com/spreadsheets/d/1XL5vhW3sbDhbH9Cz0tuDiY8C3ctxq1tqvaCgkFb8cCA/edit?usp=sharing"",""มหาสารคาม!J181"")"),0)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25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IFERROR(__xludf.DUMMYFUNCTION("IMPORTRANGE(""https://docs.google.com/spreadsheets/d/1XL5vhW3sbDhbH9Cz0tuDiY8C3ctxq1tqvaCgkFb8cCA/edit?usp=sharing"",""มหาสารคาม!I182"")"),0)</f>
        <v>0</v>
      </c>
      <c r="J267" s="190">
        <f ca="1">IFERROR(__xludf.DUMMYFUNCTION("IMPORTRANGE(""https://docs.google.com/spreadsheets/d/1XL5vhW3sbDhbH9Cz0tuDiY8C3ctxq1tqvaCgkFb8cCA/edit?usp=sharing"",""มหาสารคาม!J182"")"),0)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25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IFERROR(__xludf.DUMMYFUNCTION("IMPORTRANGE(""https://docs.google.com/spreadsheets/d/1XL5vhW3sbDhbH9Cz0tuDiY8C3ctxq1tqvaCgkFb8cCA/edit?usp=sharing"",""มหาสารคาม!J183"")"),0)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IFERROR(__xludf.DUMMYFUNCTION("IMPORTRANGE(""https://docs.google.com/spreadsheets/d/1XL5vhW3sbDhbH9Cz0tuDiY8C3ctxq1tqvaCgkFb8cCA/edit?usp=sharing"",""มหาสารคาม!J184"")"),0)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IFERROR(__xludf.DUMMYFUNCTION("IMPORTRANGE(""https://docs.google.com/spreadsheets/d/1XL5vhW3sbDhbH9Cz0tuDiY8C3ctxq1tqvaCgkFb8cCA/edit?usp=sharing"",""มหาสารคาม!I185"")"),15)</f>
        <v>15</v>
      </c>
      <c r="J270" s="316">
        <f ca="1">IFERROR(__xludf.DUMMYFUNCTION("IMPORTRANGE(""https://docs.google.com/spreadsheets/d/1XL5vhW3sbDhbH9Cz0tuDiY8C3ctxq1tqvaCgkFb8cCA/edit?usp=sharing"",""มหาสารคาม!J185"")"),15)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50" t="s">
        <v>17</v>
      </c>
      <c r="E271" s="551"/>
      <c r="F271" s="551"/>
      <c r="G271" s="551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22950</v>
      </c>
      <c r="O271" s="151">
        <f t="shared" ref="O271:O273" ca="1" si="84">IF(L271&gt;0,N271*100/L271,0)</f>
        <v>41.576086956521742</v>
      </c>
      <c r="P271" s="151">
        <f t="shared" ref="P271:P273" ca="1" si="85">IF(M271&gt;0,N271*100/M271,0)</f>
        <v>71.162790697674424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22950</v>
      </c>
      <c r="O273" s="156">
        <f t="shared" ca="1" si="84"/>
        <v>41.576086956521742</v>
      </c>
      <c r="P273" s="156">
        <f t="shared" ca="1" si="85"/>
        <v>71.162790697674424</v>
      </c>
    </row>
    <row r="274" spans="1:16" ht="21.75" customHeight="1" x14ac:dyDescent="0.25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25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IFERROR(__xludf.DUMMYFUNCTION("IMPORTRANGE(""https://docs.google.com/spreadsheets/d/1Yj_ptqi66GCucihVvJfMjLAmec39IyEx_6qawtMGysU/edit?usp=sharing"",""สบก!CK45"")"),32250)</f>
        <v>32250</v>
      </c>
      <c r="N275" s="538">
        <f ca="1">IFERROR(__xludf.DUMMYFUNCTION("IMPORTRANGE(""https://docs.google.com/spreadsheets/d/1Yj_ptqi66GCucihVvJfMjLAmec39IyEx_6qawtMGysU/edit?usp=sharing"",""สบก!CL45"")"),22950)</f>
        <v>22950</v>
      </c>
      <c r="O275" s="170">
        <f ca="1">IF(L275&gt;0,N275*100/L275,0)</f>
        <v>41.576086956521742</v>
      </c>
      <c r="P275" s="170">
        <f ca="1">IF(M275&gt;0,N275*100/M275,0)</f>
        <v>71.162790697674424</v>
      </c>
    </row>
    <row r="276" spans="1:16" ht="21.75" customHeight="1" x14ac:dyDescent="0.25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IFERROR(__xludf.DUMMYFUNCTION("IMPORTRANGE(""https://docs.google.com/spreadsheets/d/1Yj_ptqi66GCucihVvJfMjLAmec39IyEx_6qawtMGysU/edit?usp=sharing"",""สบก!CG45"")"),0)</f>
        <v>0</v>
      </c>
      <c r="M276" s="169"/>
      <c r="N276" s="169"/>
      <c r="O276" s="170"/>
      <c r="P276" s="170"/>
    </row>
    <row r="277" spans="1:16" ht="21.75" customHeight="1" x14ac:dyDescent="0.25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IFERROR(__xludf.DUMMYFUNCTION("IMPORTRANGE(""https://docs.google.com/spreadsheets/d/1Yj_ptqi66GCucihVvJfMjLAmec39IyEx_6qawtMGysU/edit?usp=sharing"",""สบก!CH45"")"),55200)</f>
        <v>55200</v>
      </c>
      <c r="M277" s="169"/>
      <c r="N277" s="169"/>
      <c r="O277" s="170"/>
      <c r="P277" s="170"/>
    </row>
    <row r="278" spans="1:16" ht="21.75" customHeight="1" x14ac:dyDescent="0.3">
      <c r="A278" s="172"/>
      <c r="B278" s="80"/>
      <c r="C278" s="81" t="s">
        <v>16</v>
      </c>
      <c r="D278" s="552" t="s">
        <v>23</v>
      </c>
      <c r="E278" s="553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3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IFERROR(__xludf.DUMMYFUNCTION("IMPORTRANGE(""https://docs.google.com/spreadsheets/d/1Yj_ptqi66GCucihVvJfMjLAmec39IyEx_6qawtMGysU/edit?usp=sharing"",""สบก!CI45"")"),0)</f>
        <v>0</v>
      </c>
      <c r="M279" s="536"/>
      <c r="N279" s="533">
        <f ca="1">IFERROR(__xludf.DUMMYFUNCTION("IMPORTRANGE(""https://docs.google.com/spreadsheets/d/1Yj_ptqi66GCucihVvJfMjLAmec39IyEx_6qawtMGysU/edit?usp=sharing"",""สบก!CM45"")"),0)</f>
        <v>0</v>
      </c>
      <c r="O279" s="536">
        <f ca="1">IF(L279&gt;0,N279*100/L279,0)</f>
        <v>0</v>
      </c>
      <c r="P279" s="536"/>
    </row>
    <row r="280" spans="1:16" ht="21.75" customHeight="1" x14ac:dyDescent="0.25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25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IFERROR(__xludf.DUMMYFUNCTION("IMPORTRANGE(""https://docs.google.com/spreadsheets/d/1XL5vhW3sbDhbH9Cz0tuDiY8C3ctxq1tqvaCgkFb8cCA/edit?usp=sharing"",""มหาสารคาม!J191"")"),0)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25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IFERROR(__xludf.DUMMYFUNCTION("IMPORTRANGE(""https://docs.google.com/spreadsheets/d/1XL5vhW3sbDhbH9Cz0tuDiY8C3ctxq1tqvaCgkFb8cCA/edit?usp=sharing"",""มหาสารคาม!J192"")"),1)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25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IFERROR(__xludf.DUMMYFUNCTION("IMPORTRANGE(""https://docs.google.com/spreadsheets/d/1XL5vhW3sbDhbH9Cz0tuDiY8C3ctxq1tqvaCgkFb8cCA/edit?usp=sharing"",""มหาสารคาม!J193"")"),1)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25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IFERROR(__xludf.DUMMYFUNCTION("IMPORTRANGE(""https://docs.google.com/spreadsheets/d/1XL5vhW3sbDhbH9Cz0tuDiY8C3ctxq1tqvaCgkFb8cCA/edit?usp=sharing"",""มหาสารคาม!J194"")"),1)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25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IFERROR(__xludf.DUMMYFUNCTION("IMPORTRANGE(""https://docs.google.com/spreadsheets/d/1XL5vhW3sbDhbH9Cz0tuDiY8C3ctxq1tqvaCgkFb8cCA/edit?usp=sharing"",""มหาสารคาม!I195"")"),15)</f>
        <v>15</v>
      </c>
      <c r="J285" s="190">
        <f ca="1">IFERROR(__xludf.DUMMYFUNCTION("IMPORTRANGE(""https://docs.google.com/spreadsheets/d/1XL5vhW3sbDhbH9Cz0tuDiY8C3ctxq1tqvaCgkFb8cCA/edit?usp=sharing"",""มหาสารคาม!J195"")"),15)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25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IFERROR(__xludf.DUMMYFUNCTION("IMPORTRANGE(""https://docs.google.com/spreadsheets/d/1XL5vhW3sbDhbH9Cz0tuDiY8C3ctxq1tqvaCgkFb8cCA/edit?usp=sharing"",""มหาสารคาม!J196"")"),0)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25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IFERROR(__xludf.DUMMYFUNCTION("IMPORTRANGE(""https://docs.google.com/spreadsheets/d/1XL5vhW3sbDhbH9Cz0tuDiY8C3ctxq1tqvaCgkFb8cCA/edit?usp=sharing"",""มหาสารคาม!I199"")"),0)</f>
        <v>0</v>
      </c>
      <c r="J289" s="316">
        <f ca="1">IFERROR(__xludf.DUMMYFUNCTION("IMPORTRANGE(""https://docs.google.com/spreadsheets/d/1XL5vhW3sbDhbH9Cz0tuDiY8C3ctxq1tqvaCgkFb8cCA/edit?usp=sharing"",""มหาสารคาม!J199"")"),0)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50" t="s">
        <v>17</v>
      </c>
      <c r="E290" s="551"/>
      <c r="F290" s="551"/>
      <c r="G290" s="551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25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25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IFERROR(__xludf.DUMMYFUNCTION("IMPORTRANGE(""https://docs.google.com/spreadsheets/d/1Yj_ptqi66GCucihVvJfMjLAmec39IyEx_6qawtMGysU/edit?usp=sharing"",""สบก!CT45"")"),0)</f>
        <v>0</v>
      </c>
      <c r="N294" s="538">
        <f ca="1">IFERROR(__xludf.DUMMYFUNCTION("IMPORTRANGE(""https://docs.google.com/spreadsheets/d/1Yj_ptqi66GCucihVvJfMjLAmec39IyEx_6qawtMGysU/edit?usp=sharing"",""สบก!CU45"")"),0)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IFERROR(__xludf.DUMMYFUNCTION("IMPORTRANGE(""https://docs.google.com/spreadsheets/d/1Yj_ptqi66GCucihVvJfMjLAmec39IyEx_6qawtMGysU/edit?usp=sharing"",""สบก!CP45"")"),0)</f>
        <v>0</v>
      </c>
      <c r="M295" s="169"/>
      <c r="N295" s="169"/>
      <c r="O295" s="170"/>
      <c r="P295" s="170"/>
    </row>
    <row r="296" spans="1:16" ht="21.75" customHeight="1" x14ac:dyDescent="0.25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IFERROR(__xludf.DUMMYFUNCTION("IMPORTRANGE(""https://docs.google.com/spreadsheets/d/1Yj_ptqi66GCucihVvJfMjLAmec39IyEx_6qawtMGysU/edit?usp=sharing"",""สบก!CQ45"")"),0)</f>
        <v>0</v>
      </c>
      <c r="M296" s="169"/>
      <c r="N296" s="169"/>
      <c r="O296" s="170"/>
      <c r="P296" s="170"/>
    </row>
    <row r="297" spans="1:16" ht="21.75" customHeight="1" x14ac:dyDescent="0.3">
      <c r="A297" s="172"/>
      <c r="B297" s="80"/>
      <c r="C297" s="81" t="s">
        <v>16</v>
      </c>
      <c r="D297" s="552" t="s">
        <v>23</v>
      </c>
      <c r="E297" s="553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3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IFERROR(__xludf.DUMMYFUNCTION("IMPORTRANGE(""https://docs.google.com/spreadsheets/d/1Yj_ptqi66GCucihVvJfMjLAmec39IyEx_6qawtMGysU/edit?usp=sharing"",""สบก!CR45"")"),0)</f>
        <v>0</v>
      </c>
      <c r="M298" s="536"/>
      <c r="N298" s="533">
        <f ca="1">IFERROR(__xludf.DUMMYFUNCTION("IMPORTRANGE(""https://docs.google.com/spreadsheets/d/1Yj_ptqi66GCucihVvJfMjLAmec39IyEx_6qawtMGysU/edit?usp=sharing"",""สบก!CV45"")"),0)</f>
        <v>0</v>
      </c>
      <c r="O298" s="536">
        <f ca="1">IF(L298&gt;0,N298*100/L298,0)</f>
        <v>0</v>
      </c>
      <c r="P298" s="536"/>
    </row>
    <row r="299" spans="1:16" ht="21.75" customHeight="1" x14ac:dyDescent="0.25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25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25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25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25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25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IFERROR(__xludf.DUMMYFUNCTION("IMPORTRANGE(""https://docs.google.com/spreadsheets/d/1XL5vhW3sbDhbH9Cz0tuDiY8C3ctxq1tqvaCgkFb8cCA/edit?usp=sharing"",""มหาสารคาม!I209"")"),0)</f>
        <v>0</v>
      </c>
      <c r="J304" s="205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25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25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IFERROR(__xludf.DUMMYFUNCTION("IMPORTRANGE(""https://docs.google.com/spreadsheets/d/1XL5vhW3sbDhbH9Cz0tuDiY8C3ctxq1tqvaCgkFb8cCA/edit?usp=sharing"",""มหาสารคาม!I211"")"),0)</f>
        <v>0</v>
      </c>
      <c r="J306" s="205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25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25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IFERROR(__xludf.DUMMYFUNCTION("IMPORTRANGE(""https://docs.google.com/spreadsheets/d/1XL5vhW3sbDhbH9Cz0tuDiY8C3ctxq1tqvaCgkFb8cCA/edit?usp=sharing"",""มหาสารคาม!I214"")"),0)</f>
        <v>0</v>
      </c>
      <c r="J309" s="333">
        <f ca="1">IFERROR(__xludf.DUMMYFUNCTION("IMPORTRANGE(""https://docs.google.com/spreadsheets/d/1XL5vhW3sbDhbH9Cz0tuDiY8C3ctxq1tqvaCgkFb8cCA/edit?usp=sharing"",""มหาสารคาม!J214"")"),0)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50" t="s">
        <v>17</v>
      </c>
      <c r="E310" s="551"/>
      <c r="F310" s="551"/>
      <c r="G310" s="551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25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25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IFERROR(__xludf.DUMMYFUNCTION("IMPORTRANGE(""https://docs.google.com/spreadsheets/d/1Yj_ptqi66GCucihVvJfMjLAmec39IyEx_6qawtMGysU/edit?usp=sharing"",""สบก!DC45"")"),0)</f>
        <v>0</v>
      </c>
      <c r="N314" s="538">
        <f ca="1">IFERROR(__xludf.DUMMYFUNCTION("IMPORTRANGE(""https://docs.google.com/spreadsheets/d/1Yj_ptqi66GCucihVvJfMjLAmec39IyEx_6qawtMGysU/edit?usp=sharing"",""สบก!DD45"")"),0)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IFERROR(__xludf.DUMMYFUNCTION("IMPORTRANGE(""https://docs.google.com/spreadsheets/d/1Yj_ptqi66GCucihVvJfMjLAmec39IyEx_6qawtMGysU/edit?usp=sharing"",""สบก!CY45"")"),0)</f>
        <v>0</v>
      </c>
      <c r="M315" s="169"/>
      <c r="N315" s="169"/>
      <c r="O315" s="170"/>
      <c r="P315" s="170"/>
    </row>
    <row r="316" spans="1:16" ht="21.75" customHeight="1" x14ac:dyDescent="0.25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IFERROR(__xludf.DUMMYFUNCTION("IMPORTRANGE(""https://docs.google.com/spreadsheets/d/1Yj_ptqi66GCucihVvJfMjLAmec39IyEx_6qawtMGysU/edit?usp=sharing"",""สบก!CZ45"")"),0)</f>
        <v>0</v>
      </c>
      <c r="M316" s="169"/>
      <c r="N316" s="169"/>
      <c r="O316" s="170"/>
      <c r="P316" s="170"/>
    </row>
    <row r="317" spans="1:16" ht="21.75" customHeight="1" x14ac:dyDescent="0.3">
      <c r="A317" s="172"/>
      <c r="B317" s="80"/>
      <c r="C317" s="81" t="s">
        <v>16</v>
      </c>
      <c r="D317" s="552" t="s">
        <v>23</v>
      </c>
      <c r="E317" s="553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3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IFERROR(__xludf.DUMMYFUNCTION("IMPORTRANGE(""https://docs.google.com/spreadsheets/d/1Yj_ptqi66GCucihVvJfMjLAmec39IyEx_6qawtMGysU/edit?usp=sharing"",""สบก!DA45"")"),0)</f>
        <v>0</v>
      </c>
      <c r="M318" s="536"/>
      <c r="N318" s="533">
        <f ca="1">IFERROR(__xludf.DUMMYFUNCTION("IMPORTRANGE(""https://docs.google.com/spreadsheets/d/1Yj_ptqi66GCucihVvJfMjLAmec39IyEx_6qawtMGysU/edit?usp=sharing"",""สบก!DE45"")"),0)</f>
        <v>0</v>
      </c>
      <c r="O318" s="536">
        <f ca="1">IF(L318&gt;0,N318*100/L318,0)</f>
        <v>0</v>
      </c>
      <c r="P318" s="536"/>
    </row>
    <row r="319" spans="1:16" ht="21.75" customHeight="1" x14ac:dyDescent="0.25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25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25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25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25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25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IFERROR(__xludf.DUMMYFUNCTION("IMPORTRANGE(""https://docs.google.com/spreadsheets/d/1XL5vhW3sbDhbH9Cz0tuDiY8C3ctxq1tqvaCgkFb8cCA/edit?usp=sharing"",""มหาสารคาม!I224"")"),0)</f>
        <v>0</v>
      </c>
      <c r="J324" s="205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25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25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IFERROR(__xludf.DUMMYFUNCTION("IMPORTRANGE(""https://docs.google.com/spreadsheets/d/1XL5vhW3sbDhbH9Cz0tuDiY8C3ctxq1tqvaCgkFb8cCA/edit?usp=sharing"",""มหาสารคาม!I228"")"),160)</f>
        <v>160</v>
      </c>
      <c r="J328" s="339">
        <f ca="1">IFERROR(__xludf.DUMMYFUNCTION("IMPORTRANGE(""https://docs.google.com/spreadsheets/d/1XL5vhW3sbDhbH9Cz0tuDiY8C3ctxq1tqvaCgkFb8cCA/edit?usp=sharing"",""มหาสารคาม!J228"")"),43)</f>
        <v>43</v>
      </c>
      <c r="K328" s="317">
        <f ca="1">IF(I328&gt;0,J328*100/I328,0)</f>
        <v>26.875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50" t="s">
        <v>17</v>
      </c>
      <c r="E329" s="551"/>
      <c r="F329" s="551"/>
      <c r="G329" s="551"/>
      <c r="H329" s="149" t="s">
        <v>12</v>
      </c>
      <c r="I329" s="164"/>
      <c r="J329" s="164"/>
      <c r="K329" s="165"/>
      <c r="L329" s="152">
        <f t="shared" ref="L329:N329" ca="1" si="98">L330+L331</f>
        <v>658010</v>
      </c>
      <c r="M329" s="152">
        <f t="shared" ca="1" si="98"/>
        <v>351110</v>
      </c>
      <c r="N329" s="152">
        <f t="shared" ca="1" si="98"/>
        <v>277055</v>
      </c>
      <c r="O329" s="151">
        <f t="shared" ref="O329:O331" ca="1" si="99">IF(L329&gt;0,N329*100/L329,0)</f>
        <v>42.104983206942144</v>
      </c>
      <c r="P329" s="151">
        <f t="shared" ref="P329:P331" ca="1" si="100">IF(M329&gt;0,N329*100/M329,0)</f>
        <v>78.908319330124456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658010</v>
      </c>
      <c r="M331" s="157">
        <f t="shared" ca="1" si="102"/>
        <v>351110</v>
      </c>
      <c r="N331" s="157">
        <f t="shared" ca="1" si="102"/>
        <v>277055</v>
      </c>
      <c r="O331" s="156">
        <f t="shared" ca="1" si="99"/>
        <v>42.104983206942144</v>
      </c>
      <c r="P331" s="156">
        <f t="shared" ca="1" si="100"/>
        <v>78.908319330124456</v>
      </c>
    </row>
    <row r="332" spans="1:16" ht="21.75" customHeight="1" x14ac:dyDescent="0.25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25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658010</v>
      </c>
      <c r="M333" s="537">
        <f ca="1">IFERROR(__xludf.DUMMYFUNCTION("IMPORTRANGE(""https://docs.google.com/spreadsheets/d/1Yj_ptqi66GCucihVvJfMjLAmec39IyEx_6qawtMGysU/edit?usp=sharing"",""สบก!DL45"")"),351110)</f>
        <v>351110</v>
      </c>
      <c r="N333" s="538">
        <f ca="1">IFERROR(__xludf.DUMMYFUNCTION("IMPORTRANGE(""https://docs.google.com/spreadsheets/d/1Yj_ptqi66GCucihVvJfMjLAmec39IyEx_6qawtMGysU/edit?usp=sharing"",""สบก!DM45"")"),277055)</f>
        <v>277055</v>
      </c>
      <c r="O333" s="170">
        <f ca="1">IF(L333&gt;0,N333*100/L333,0)</f>
        <v>42.104983206942144</v>
      </c>
      <c r="P333" s="170">
        <f ca="1">IF(M333&gt;0,N333*100/M333,0)</f>
        <v>78.908319330124456</v>
      </c>
    </row>
    <row r="334" spans="1:16" ht="21.75" customHeight="1" x14ac:dyDescent="0.25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IFERROR(__xludf.DUMMYFUNCTION("IMPORTRANGE(""https://docs.google.com/spreadsheets/d/1Yj_ptqi66GCucihVvJfMjLAmec39IyEx_6qawtMGysU/edit?usp=sharing"",""สบก!DH45"")"),306000)</f>
        <v>306000</v>
      </c>
      <c r="M334" s="169"/>
      <c r="N334" s="169"/>
      <c r="O334" s="170"/>
      <c r="P334" s="170"/>
    </row>
    <row r="335" spans="1:16" ht="21.75" customHeight="1" x14ac:dyDescent="0.25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IFERROR(__xludf.DUMMYFUNCTION("IMPORTRANGE(""https://docs.google.com/spreadsheets/d/1Yj_ptqi66GCucihVvJfMjLAmec39IyEx_6qawtMGysU/edit?usp=sharing"",""สบก!DI45"")"),352010)</f>
        <v>352010</v>
      </c>
      <c r="M335" s="169"/>
      <c r="N335" s="169"/>
      <c r="O335" s="170"/>
      <c r="P335" s="170"/>
    </row>
    <row r="336" spans="1:16" ht="21.75" customHeight="1" x14ac:dyDescent="0.3">
      <c r="A336" s="172"/>
      <c r="B336" s="80"/>
      <c r="C336" s="81" t="s">
        <v>16</v>
      </c>
      <c r="D336" s="552" t="s">
        <v>23</v>
      </c>
      <c r="E336" s="553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3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IFERROR(__xludf.DUMMYFUNCTION("IMPORTRANGE(""https://docs.google.com/spreadsheets/d/1Yj_ptqi66GCucihVvJfMjLAmec39IyEx_6qawtMGysU/edit?usp=sharing"",""สบก!DJ45"")"),0)</f>
        <v>0</v>
      </c>
      <c r="M337" s="536"/>
      <c r="N337" s="533">
        <f ca="1">IFERROR(__xludf.DUMMYFUNCTION("IMPORTRANGE(""https://docs.google.com/spreadsheets/d/1Yj_ptqi66GCucihVvJfMjLAmec39IyEx_6qawtMGysU/edit?usp=sharing"",""สบก!DN45"")"),0)</f>
        <v>0</v>
      </c>
      <c r="O337" s="536">
        <f ca="1">IF(L337&gt;0,N337*100/L337,0)</f>
        <v>0</v>
      </c>
      <c r="P337" s="536"/>
    </row>
    <row r="338" spans="1:16" ht="21.75" customHeight="1" x14ac:dyDescent="0.25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25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IFERROR(__xludf.DUMMYFUNCTION("IMPORTRANGE(""https://docs.google.com/spreadsheets/d/1XL5vhW3sbDhbH9Cz0tuDiY8C3ctxq1tqvaCgkFb8cCA/edit?usp=sharing"",""มหาสารคาม!I234"")"),0)</f>
        <v>0</v>
      </c>
      <c r="J339" s="189">
        <f ca="1">IFERROR(__xludf.DUMMYFUNCTION("IMPORTRANGE(""https://docs.google.com/spreadsheets/d/1XL5vhW3sbDhbH9Cz0tuDiY8C3ctxq1tqvaCgkFb8cCA/edit?usp=sharing"",""มหาสารคาม!J234"")"),128)</f>
        <v>128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25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IFERROR(__xludf.DUMMYFUNCTION("IMPORTRANGE(""https://docs.google.com/spreadsheets/d/1XL5vhW3sbDhbH9Cz0tuDiY8C3ctxq1tqvaCgkFb8cCA/edit?usp=sharing"",""มหาสารคาม!I235"")"),1350)</f>
        <v>1350</v>
      </c>
      <c r="J340" s="189">
        <f ca="1">IFERROR(__xludf.DUMMYFUNCTION("IMPORTRANGE(""https://docs.google.com/spreadsheets/d/1XL5vhW3sbDhbH9Cz0tuDiY8C3ctxq1tqvaCgkFb8cCA/edit?usp=sharing"",""มหาสารคาม!J235"")"),993.62)</f>
        <v>993.62</v>
      </c>
      <c r="K340" s="342">
        <f t="shared" ca="1" si="103"/>
        <v>73.601481481481486</v>
      </c>
      <c r="L340" s="183"/>
      <c r="M340" s="183"/>
      <c r="N340" s="183"/>
      <c r="O340" s="343"/>
      <c r="P340" s="343"/>
    </row>
    <row r="341" spans="1:16" ht="21.75" customHeight="1" x14ac:dyDescent="0.25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IFERROR(__xludf.DUMMYFUNCTION("IMPORTRANGE(""https://docs.google.com/spreadsheets/d/1XL5vhW3sbDhbH9Cz0tuDiY8C3ctxq1tqvaCgkFb8cCA/edit?usp=sharing"",""มหาสารคาม!I236"")"),160)</f>
        <v>160</v>
      </c>
      <c r="J341" s="189">
        <f ca="1">IFERROR(__xludf.DUMMYFUNCTION("IMPORTRANGE(""https://docs.google.com/spreadsheets/d/1XL5vhW3sbDhbH9Cz0tuDiY8C3ctxq1tqvaCgkFb8cCA/edit?usp=sharing"",""มหาสารคาม!J236"")"),45)</f>
        <v>45</v>
      </c>
      <c r="K341" s="342">
        <f t="shared" ca="1" si="103"/>
        <v>28.125</v>
      </c>
      <c r="L341" s="183"/>
      <c r="M341" s="183"/>
      <c r="N341" s="183"/>
      <c r="O341" s="343"/>
      <c r="P341" s="343"/>
    </row>
    <row r="342" spans="1:16" ht="21.75" customHeight="1" x14ac:dyDescent="0.25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9">
        <f ca="1">IFERROR(__xludf.DUMMYFUNCTION("IMPORTRANGE(""https://docs.google.com/spreadsheets/d/1XL5vhW3sbDhbH9Cz0tuDiY8C3ctxq1tqvaCgkFb8cCA/edit?usp=sharing"",""มหาสารคาม!J237"")"),474.22)</f>
        <v>474.22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25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IFERROR(__xludf.DUMMYFUNCTION("IMPORTRANGE(""https://docs.google.com/spreadsheets/d/1XL5vhW3sbDhbH9Cz0tuDiY8C3ctxq1tqvaCgkFb8cCA/edit?usp=sharing"",""มหาสารคาม!I238"")"),160)</f>
        <v>160</v>
      </c>
      <c r="J343" s="189">
        <f ca="1">IFERROR(__xludf.DUMMYFUNCTION("IMPORTRANGE(""https://docs.google.com/spreadsheets/d/1XL5vhW3sbDhbH9Cz0tuDiY8C3ctxq1tqvaCgkFb8cCA/edit?usp=sharing"",""มหาสารคาม!J238"")"),0)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25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9">
        <f ca="1">IFERROR(__xludf.DUMMYFUNCTION("IMPORTRANGE(""https://docs.google.com/spreadsheets/d/1XL5vhW3sbDhbH9Cz0tuDiY8C3ctxq1tqvaCgkFb8cCA/edit?usp=sharing"",""มหาสารคาม!J239"")"),0)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25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IFERROR(__xludf.DUMMYFUNCTION("IMPORTRANGE(""https://docs.google.com/spreadsheets/d/1XL5vhW3sbDhbH9Cz0tuDiY8C3ctxq1tqvaCgkFb8cCA/edit?usp=sharing"",""มหาสารคาม!I240"")"),160)</f>
        <v>160</v>
      </c>
      <c r="J345" s="189">
        <f ca="1">IFERROR(__xludf.DUMMYFUNCTION("IMPORTRANGE(""https://docs.google.com/spreadsheets/d/1XL5vhW3sbDhbH9Cz0tuDiY8C3ctxq1tqvaCgkFb8cCA/edit?usp=sharing"",""มหาสารคาม!J240"")"),43)</f>
        <v>43</v>
      </c>
      <c r="K345" s="342">
        <f t="shared" ca="1" si="103"/>
        <v>26.875</v>
      </c>
      <c r="L345" s="183"/>
      <c r="M345" s="183"/>
      <c r="N345" s="183"/>
      <c r="O345" s="343"/>
      <c r="P345" s="343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9">
        <f ca="1">IFERROR(__xludf.DUMMYFUNCTION("IMPORTRANGE(""https://docs.google.com/spreadsheets/d/1XL5vhW3sbDhbH9Cz0tuDiY8C3ctxq1tqvaCgkFb8cCA/edit?usp=sharing"",""มหาสารคาม!J241"")"),458.18)</f>
        <v>458.18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IFERROR(__xludf.DUMMYFUNCTION("IMPORTRANGE(""https://docs.google.com/spreadsheets/d/1XL5vhW3sbDhbH9Cz0tuDiY8C3ctxq1tqvaCgkFb8cCA/edit?usp=sharing"",""มหาสารคาม!L242"")"),2365457)</f>
        <v>2365457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IFERROR(__xludf.DUMMYFUNCTION("IMPORTRANGE(""https://docs.google.com/spreadsheets/d/1XL5vhW3sbDhbH9Cz0tuDiY8C3ctxq1tqvaCgkFb8cCA/edit?usp=sharing"",""มหาสารคาม!M242"")"),442442.61)</f>
        <v>442442.61</v>
      </c>
      <c r="O347" s="358">
        <f ca="1">+IF(L347&gt;0,N347*100/L347,0)</f>
        <v>18.704318446710296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IFERROR(__xludf.DUMMYFUNCTION("IMPORTRANGE(""https://docs.google.com/spreadsheets/d/1XL5vhW3sbDhbH9Cz0tuDiY8C3ctxq1tqvaCgkFb8cCA/edit?usp=sharing"",""มหาสารคาม!M244"")"),113807.48)</f>
        <v>113807.48</v>
      </c>
      <c r="O349" s="373">
        <f ca="1">+IF(L349&gt;0,N349*100/L349,0)</f>
        <v>18.466246957650494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IFERROR(__xludf.DUMMYFUNCTION("IMPORTRANGE(""https://docs.google.com/spreadsheets/d/1XL5vhW3sbDhbH9Cz0tuDiY8C3ctxq1tqvaCgkFb8cCA/edit?usp=sharing"",""มหาสารคาม!L246"")"),0)</f>
        <v>0</v>
      </c>
      <c r="M351" s="166"/>
      <c r="N351" s="166">
        <f ca="1">IFERROR(__xludf.DUMMYFUNCTION("IMPORTRANGE(""https://docs.google.com/spreadsheets/d/1XL5vhW3sbDhbH9Cz0tuDiY8C3ctxq1tqvaCgkFb8cCA/edit?usp=sharing"",""มหาสารคาม!M246"")"),0)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25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IFERROR(__xludf.DUMMYFUNCTION("IMPORTRANGE(""https://docs.google.com/spreadsheets/d/1XL5vhW3sbDhbH9Cz0tuDiY8C3ctxq1tqvaCgkFb8cCA/edit?usp=sharing"",""มหาสารคาม!L247"")"),616300)</f>
        <v>616300</v>
      </c>
      <c r="M352" s="167"/>
      <c r="N352" s="166">
        <f ca="1">IFERROR(__xludf.DUMMYFUNCTION("IMPORTRANGE(""https://docs.google.com/spreadsheets/d/1XL5vhW3sbDhbH9Cz0tuDiY8C3ctxq1tqvaCgkFb8cCA/edit?usp=sharing"",""มหาสารคาม!M247"")"),113807.48)</f>
        <v>113807.48</v>
      </c>
      <c r="O352" s="167">
        <f t="shared" ca="1" si="105"/>
        <v>18.466246957650494</v>
      </c>
      <c r="P352" s="167"/>
    </row>
    <row r="353" spans="1:16" ht="21.75" customHeight="1" x14ac:dyDescent="0.25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IFERROR(__xludf.DUMMYFUNCTION("IMPORTRANGE(""https://docs.google.com/spreadsheets/d/1XL5vhW3sbDhbH9Cz0tuDiY8C3ctxq1tqvaCgkFb8cCA/edit?usp=sharing"",""มหาสารคาม!L248"")"),0)</f>
        <v>0</v>
      </c>
      <c r="M353" s="170"/>
      <c r="N353" s="170">
        <f ca="1">IFERROR(__xludf.DUMMYFUNCTION("IMPORTRANGE(""https://docs.google.com/spreadsheets/d/1XL5vhW3sbDhbH9Cz0tuDiY8C3ctxq1tqvaCgkFb8cCA/edit?usp=sharing"",""มหาสารคาม!M248"")"),0)</f>
        <v>0</v>
      </c>
      <c r="O353" s="170">
        <f t="shared" ca="1" si="105"/>
        <v>0</v>
      </c>
      <c r="P353" s="170"/>
    </row>
    <row r="354" spans="1:16" ht="21.75" customHeight="1" x14ac:dyDescent="0.25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IFERROR(__xludf.DUMMYFUNCTION("IMPORTRANGE(""https://docs.google.com/spreadsheets/d/1XL5vhW3sbDhbH9Cz0tuDiY8C3ctxq1tqvaCgkFb8cCA/edit?usp=sharing"",""มหาสารคาม!L249"")"),616300)</f>
        <v>616300</v>
      </c>
      <c r="M354" s="170"/>
      <c r="N354" s="169">
        <f ca="1">IFERROR(__xludf.DUMMYFUNCTION("IMPORTRANGE(""https://docs.google.com/spreadsheets/d/1XL5vhW3sbDhbH9Cz0tuDiY8C3ctxq1tqvaCgkFb8cCA/edit?usp=sharing"",""มหาสารคาม!M249"")"),113807.48)</f>
        <v>113807.48</v>
      </c>
      <c r="O354" s="170">
        <f t="shared" ca="1" si="105"/>
        <v>18.466246957650494</v>
      </c>
      <c r="P354" s="170"/>
    </row>
    <row r="355" spans="1:16" ht="21.75" customHeight="1" x14ac:dyDescent="0.25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IFERROR(__xludf.DUMMYFUNCTION("IMPORTRANGE(""https://docs.google.com/spreadsheets/d/1XL5vhW3sbDhbH9Cz0tuDiY8C3ctxq1tqvaCgkFb8cCA/edit?usp=sharing"",""มหาสารคาม!M250"")"),55752)</f>
        <v>55752</v>
      </c>
      <c r="O355" s="170"/>
      <c r="P355" s="170"/>
    </row>
    <row r="356" spans="1:16" ht="21.75" customHeight="1" x14ac:dyDescent="0.25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IFERROR(__xludf.DUMMYFUNCTION("IMPORTRANGE(""https://docs.google.com/spreadsheets/d/1XL5vhW3sbDhbH9Cz0tuDiY8C3ctxq1tqvaCgkFb8cCA/edit?usp=sharing"",""มหาสารคาม!M251"")"),0)</f>
        <v>0</v>
      </c>
      <c r="O356" s="170"/>
      <c r="P356" s="170"/>
    </row>
    <row r="357" spans="1:16" ht="21.75" customHeight="1" x14ac:dyDescent="0.25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IFERROR(__xludf.DUMMYFUNCTION("IMPORTRANGE(""https://docs.google.com/spreadsheets/d/1XL5vhW3sbDhbH9Cz0tuDiY8C3ctxq1tqvaCgkFb8cCA/edit?usp=sharing"",""มหาสารคาม!M252"")"),53935.48)</f>
        <v>53935.48</v>
      </c>
      <c r="O357" s="170"/>
      <c r="P357" s="170"/>
    </row>
    <row r="358" spans="1:16" ht="21.75" customHeight="1" x14ac:dyDescent="0.25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IFERROR(__xludf.DUMMYFUNCTION("IMPORTRANGE(""https://docs.google.com/spreadsheets/d/1XL5vhW3sbDhbH9Cz0tuDiY8C3ctxq1tqvaCgkFb8cCA/edit?usp=sharing"",""มหาสารคาม!M253"")"),4120)</f>
        <v>4120</v>
      </c>
      <c r="O358" s="170"/>
      <c r="P358" s="170"/>
    </row>
    <row r="359" spans="1:16" ht="21.75" customHeight="1" x14ac:dyDescent="0.25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25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IFERROR(__xludf.DUMMYFUNCTION("IMPORTRANGE(""https://docs.google.com/spreadsheets/d/1XL5vhW3sbDhbH9Cz0tuDiY8C3ctxq1tqvaCgkFb8cCA/edit?usp=sharing"",""มหาสารคาม!J255"")"),0)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25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IFERROR(__xludf.DUMMYFUNCTION("IMPORTRANGE(""https://docs.google.com/spreadsheets/d/1XL5vhW3sbDhbH9Cz0tuDiY8C3ctxq1tqvaCgkFb8cCA/edit?usp=sharing"",""มหาสารคาม!J256"")"),1)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25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IFERROR(__xludf.DUMMYFUNCTION("IMPORTRANGE(""https://docs.google.com/spreadsheets/d/1XL5vhW3sbDhbH9Cz0tuDiY8C3ctxq1tqvaCgkFb8cCA/edit?usp=sharing"",""มหาสารคาม!J257"")"),1)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25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IFERROR(__xludf.DUMMYFUNCTION("IMPORTRANGE(""https://docs.google.com/spreadsheets/d/1XL5vhW3sbDhbH9Cz0tuDiY8C3ctxq1tqvaCgkFb8cCA/edit?usp=sharing"",""มหาสารคาม!J258"")"),1)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25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IFERROR(__xludf.DUMMYFUNCTION("IMPORTRANGE(""https://docs.google.com/spreadsheets/d/1XL5vhW3sbDhbH9Cz0tuDiY8C3ctxq1tqvaCgkFb8cCA/edit?usp=sharing"",""มหาสารคาม!J166"")"),0)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25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IFERROR(__xludf.DUMMYFUNCTION("IMPORTRANGE(""https://docs.google.com/spreadsheets/d/1XL5vhW3sbDhbH9Cz0tuDiY8C3ctxq1tqvaCgkFb8cCA/edit?usp=sharing"",""มหาสารคาม!J166"")"),0)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25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IFERROR(__xludf.DUMMYFUNCTION("IMPORTRANGE(""https://docs.google.com/spreadsheets/d/1XL5vhW3sbDhbH9Cz0tuDiY8C3ctxq1tqvaCgkFb8cCA/edit?usp=sharing"",""มหาสารคาม!J166"")"),0)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25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IFERROR(__xludf.DUMMYFUNCTION("IMPORTRANGE(""https://docs.google.com/spreadsheets/d/1XL5vhW3sbDhbH9Cz0tuDiY8C3ctxq1tqvaCgkFb8cCA/edit?usp=sharing"",""มหาสารคาม!J166"")"),0)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25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IFERROR(__xludf.DUMMYFUNCTION("IMPORTRANGE(""https://docs.google.com/spreadsheets/d/1XL5vhW3sbDhbH9Cz0tuDiY8C3ctxq1tqvaCgkFb8cCA/edit?usp=sharing"",""มหาสารคาม!I263"")"),140)</f>
        <v>140</v>
      </c>
      <c r="J368" s="189">
        <f ca="1">IFERROR(__xludf.DUMMYFUNCTION("IMPORTRANGE(""https://docs.google.com/spreadsheets/d/1XL5vhW3sbDhbH9Cz0tuDiY8C3ctxq1tqvaCgkFb8cCA/edit?usp=sharing"",""มหาสารคาม!J263"")"),0)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25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IFERROR(__xludf.DUMMYFUNCTION("IMPORTRANGE(""https://docs.google.com/spreadsheets/d/1XL5vhW3sbDhbH9Cz0tuDiY8C3ctxq1tqvaCgkFb8cCA/edit?usp=sharing"",""มหาสารคาม!I164"")"),0)</f>
        <v>0</v>
      </c>
      <c r="J369" s="205">
        <f ca="1">IFERROR(__xludf.DUMMYFUNCTION("IMPORTRANGE(""https://docs.google.com/spreadsheets/d/1XL5vhW3sbDhbH9Cz0tuDiY8C3ctxq1tqvaCgkFb8cCA/edit?usp=sharing"",""มหาสารคาม!J164"")"),0)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25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IFERROR(__xludf.DUMMYFUNCTION("IMPORTRANGE(""https://docs.google.com/spreadsheets/d/1XL5vhW3sbDhbH9Cz0tuDiY8C3ctxq1tqvaCgkFb8cCA/edit?usp=sharing"",""มหาสารคาม!I265"")"),140)</f>
        <v>140</v>
      </c>
      <c r="J370" s="205">
        <f ca="1">IFERROR(__xludf.DUMMYFUNCTION("IMPORTRANGE(""https://docs.google.com/spreadsheets/d/1XL5vhW3sbDhbH9Cz0tuDiY8C3ctxq1tqvaCgkFb8cCA/edit?usp=sharing"",""มหาสารคาม!J265"")"),140)</f>
        <v>140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25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IFERROR(__xludf.DUMMYFUNCTION("IMPORTRANGE(""https://docs.google.com/spreadsheets/d/1XL5vhW3sbDhbH9Cz0tuDiY8C3ctxq1tqvaCgkFb8cCA/edit?usp=sharing"",""มหาสารคาม!I164"")"),0)</f>
        <v>0</v>
      </c>
      <c r="J371" s="190">
        <f ca="1">IFERROR(__xludf.DUMMYFUNCTION("IMPORTRANGE(""https://docs.google.com/spreadsheets/d/1XL5vhW3sbDhbH9Cz0tuDiY8C3ctxq1tqvaCgkFb8cCA/edit?usp=sharing"",""มหาสารคาม!J164"")"),0)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25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IFERROR(__xludf.DUMMYFUNCTION("IMPORTRANGE(""https://docs.google.com/spreadsheets/d/1XL5vhW3sbDhbH9Cz0tuDiY8C3ctxq1tqvaCgkFb8cCA/edit?usp=sharing"",""มหาสารคาม!I267"")"),140)</f>
        <v>140</v>
      </c>
      <c r="J372" s="190">
        <f ca="1">IFERROR(__xludf.DUMMYFUNCTION("IMPORTRANGE(""https://docs.google.com/spreadsheets/d/1XL5vhW3sbDhbH9Cz0tuDiY8C3ctxq1tqvaCgkFb8cCA/edit?usp=sharing"",""มหาสารคาม!J267"")"),0)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25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IFERROR(__xludf.DUMMYFUNCTION("IMPORTRANGE(""https://docs.google.com/spreadsheets/d/1XL5vhW3sbDhbH9Cz0tuDiY8C3ctxq1tqvaCgkFb8cCA/edit?usp=sharing"",""มหาสารคาม!I164"")"),0)</f>
        <v>0</v>
      </c>
      <c r="J373" s="205">
        <f ca="1">IFERROR(__xludf.DUMMYFUNCTION("IMPORTRANGE(""https://docs.google.com/spreadsheets/d/1XL5vhW3sbDhbH9Cz0tuDiY8C3ctxq1tqvaCgkFb8cCA/edit?usp=sharing"",""มหาสารคาม!J164"")"),0)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25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IFERROR(__xludf.DUMMYFUNCTION("IMPORTRANGE(""https://docs.google.com/spreadsheets/d/1XL5vhW3sbDhbH9Cz0tuDiY8C3ctxq1tqvaCgkFb8cCA/edit?usp=sharing"",""มหาสารคาม!I164"")"),0)</f>
        <v>0</v>
      </c>
      <c r="J374" s="189">
        <f ca="1">IFERROR(__xludf.DUMMYFUNCTION("IMPORTRANGE(""https://docs.google.com/spreadsheets/d/1XL5vhW3sbDhbH9Cz0tuDiY8C3ctxq1tqvaCgkFb8cCA/edit?usp=sharing"",""มหาสารคาม!J164"")"),0)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25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IFERROR(__xludf.DUMMYFUNCTION("IMPORTRANGE(""https://docs.google.com/spreadsheets/d/1XL5vhW3sbDhbH9Cz0tuDiY8C3ctxq1tqvaCgkFb8cCA/edit?usp=sharing"",""มหาสารคาม!I270"")"),300)</f>
        <v>300</v>
      </c>
      <c r="J375" s="189">
        <f ca="1">IFERROR(__xludf.DUMMYFUNCTION("IMPORTRANGE(""https://docs.google.com/spreadsheets/d/1XL5vhW3sbDhbH9Cz0tuDiY8C3ctxq1tqvaCgkFb8cCA/edit?usp=sharing"",""มหาสารคาม!J270"")"),0)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25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IFERROR(__xludf.DUMMYFUNCTION("IMPORTRANGE(""https://docs.google.com/spreadsheets/d/1XL5vhW3sbDhbH9Cz0tuDiY8C3ctxq1tqvaCgkFb8cCA/edit?usp=sharing"",""มหาสารคาม!I271"")"),25)</f>
        <v>25</v>
      </c>
      <c r="J376" s="190">
        <f ca="1">IFERROR(__xludf.DUMMYFUNCTION("IMPORTRANGE(""https://docs.google.com/spreadsheets/d/1XL5vhW3sbDhbH9Cz0tuDiY8C3ctxq1tqvaCgkFb8cCA/edit?usp=sharing"",""มหาสารคาม!J271"")"),0)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25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IFERROR(__xludf.DUMMYFUNCTION("IMPORTRANGE(""https://docs.google.com/spreadsheets/d/1XL5vhW3sbDhbH9Cz0tuDiY8C3ctxq1tqvaCgkFb8cCA/edit?usp=sharing"",""มหาสารคาม!I272"")"),275)</f>
        <v>275</v>
      </c>
      <c r="J377" s="205">
        <f ca="1">IFERROR(__xludf.DUMMYFUNCTION("IMPORTRANGE(""https://docs.google.com/spreadsheets/d/1XL5vhW3sbDhbH9Cz0tuDiY8C3ctxq1tqvaCgkFb8cCA/edit?usp=sharing"",""มหาสารคาม!J272"")"),0)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25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IFERROR(__xludf.DUMMYFUNCTION("IMPORTRANGE(""https://docs.google.com/spreadsheets/d/1XL5vhW3sbDhbH9Cz0tuDiY8C3ctxq1tqvaCgkFb8cCA/edit?usp=sharing"",""มหาสารคาม!J273"")"),0)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25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IFERROR(__xludf.DUMMYFUNCTION("IMPORTRANGE(""https://docs.google.com/spreadsheets/d/1XL5vhW3sbDhbH9Cz0tuDiY8C3ctxq1tqvaCgkFb8cCA/edit?usp=sharing"",""มหาสารคาม!M275"")"),128026.65)</f>
        <v>128026.65</v>
      </c>
      <c r="O380" s="373">
        <f ca="1">+IF(L380&gt;0,N380*100/L380,0)</f>
        <v>12.447657799556644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IFERROR(__xludf.DUMMYFUNCTION("IMPORTRANGE(""https://docs.google.com/spreadsheets/d/1XL5vhW3sbDhbH9Cz0tuDiY8C3ctxq1tqvaCgkFb8cCA/edit?usp=sharing"",""มหาสารคาม!L277"")"),0)</f>
        <v>0</v>
      </c>
      <c r="M382" s="166"/>
      <c r="N382" s="166">
        <f ca="1">IFERROR(__xludf.DUMMYFUNCTION("IMPORTRANGE(""https://docs.google.com/spreadsheets/d/1XL5vhW3sbDhbH9Cz0tuDiY8C3ctxq1tqvaCgkFb8cCA/edit?usp=sharing"",""มหาสารคาม!M277"")"),0)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25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IFERROR(__xludf.DUMMYFUNCTION("IMPORTRANGE(""https://docs.google.com/spreadsheets/d/1XL5vhW3sbDhbH9Cz0tuDiY8C3ctxq1tqvaCgkFb8cCA/edit?usp=sharing"",""มหาสารคาม!L278"")"),1028520)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IFERROR(__xludf.DUMMYFUNCTION("IMPORTRANGE(""https://docs.google.com/spreadsheets/d/1XL5vhW3sbDhbH9Cz0tuDiY8C3ctxq1tqvaCgkFb8cCA/edit?usp=sharing"",""มหาสารคาม!M278"")"),128026.65)</f>
        <v>128026.65</v>
      </c>
      <c r="O383" s="167">
        <f t="shared" ca="1" si="109"/>
        <v>12.447657799556644</v>
      </c>
      <c r="P383" s="167"/>
    </row>
    <row r="384" spans="1:16" ht="21.75" customHeight="1" x14ac:dyDescent="0.25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IFERROR(__xludf.DUMMYFUNCTION("IMPORTRANGE(""https://docs.google.com/spreadsheets/d/1XL5vhW3sbDhbH9Cz0tuDiY8C3ctxq1tqvaCgkFb8cCA/edit?usp=sharing"",""มหาสารคาม!L279"")"),0)</f>
        <v>0</v>
      </c>
      <c r="M384" s="170"/>
      <c r="N384" s="170">
        <f ca="1">IFERROR(__xludf.DUMMYFUNCTION("IMPORTRANGE(""https://docs.google.com/spreadsheets/d/1XL5vhW3sbDhbH9Cz0tuDiY8C3ctxq1tqvaCgkFb8cCA/edit?usp=sharing"",""มหาสารคาม!M279"")"),0)</f>
        <v>0</v>
      </c>
      <c r="O384" s="170">
        <f t="shared" ca="1" si="109"/>
        <v>0</v>
      </c>
      <c r="P384" s="170"/>
    </row>
    <row r="385" spans="1:16" ht="21.75" customHeight="1" x14ac:dyDescent="0.25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IFERROR(__xludf.DUMMYFUNCTION("IMPORTRANGE(""https://docs.google.com/spreadsheets/d/1XL5vhW3sbDhbH9Cz0tuDiY8C3ctxq1tqvaCgkFb8cCA/edit?usp=sharing"",""มหาสารคาม!L280"")"),1028520)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IFERROR(__xludf.DUMMYFUNCTION("IMPORTRANGE(""https://docs.google.com/spreadsheets/d/1XL5vhW3sbDhbH9Cz0tuDiY8C3ctxq1tqvaCgkFb8cCA/edit?usp=sharing"",""มหาสารคาม!M280"")"),128026.65)</f>
        <v>128026.65</v>
      </c>
      <c r="O385" s="170">
        <f t="shared" ca="1" si="109"/>
        <v>12.447657799556644</v>
      </c>
      <c r="P385" s="170"/>
    </row>
    <row r="386" spans="1:16" ht="21.75" customHeight="1" x14ac:dyDescent="0.25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IFERROR(__xludf.DUMMYFUNCTION("IMPORTRANGE(""https://docs.google.com/spreadsheets/d/1XL5vhW3sbDhbH9Cz0tuDiY8C3ctxq1tqvaCgkFb8cCA/edit?usp=sharing"",""มหาสารคาม!M281"")"),67680)</f>
        <v>67680</v>
      </c>
      <c r="O386" s="170"/>
      <c r="P386" s="170"/>
    </row>
    <row r="387" spans="1:16" ht="21.75" customHeight="1" x14ac:dyDescent="0.25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70"/>
      <c r="P387" s="170"/>
    </row>
    <row r="388" spans="1:16" ht="21.75" customHeight="1" x14ac:dyDescent="0.25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IFERROR(__xludf.DUMMYFUNCTION("IMPORTRANGE(""https://docs.google.com/spreadsheets/d/1XL5vhW3sbDhbH9Cz0tuDiY8C3ctxq1tqvaCgkFb8cCA/edit?usp=sharing"",""มหาสารคาม!M283"")"),53580.65)</f>
        <v>53580.65</v>
      </c>
      <c r="O388" s="170"/>
      <c r="P388" s="170"/>
    </row>
    <row r="389" spans="1:16" ht="21.75" customHeight="1" x14ac:dyDescent="0.25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IFERROR(__xludf.DUMMYFUNCTION("IMPORTRANGE(""https://docs.google.com/spreadsheets/d/1XL5vhW3sbDhbH9Cz0tuDiY8C3ctxq1tqvaCgkFb8cCA/edit?usp=sharing"",""มหาสารคาม!M284"")"),6766)</f>
        <v>6766</v>
      </c>
      <c r="O389" s="170"/>
      <c r="P389" s="170"/>
    </row>
    <row r="390" spans="1:16" ht="21.75" customHeight="1" x14ac:dyDescent="0.25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25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IFERROR(__xludf.DUMMYFUNCTION("IMPORTRANGE(""https://docs.google.com/spreadsheets/d/1XL5vhW3sbDhbH9Cz0tuDiY8C3ctxq1tqvaCgkFb8cCA/edit?usp=sharing"",""มหาสารคาม!J286"")"),0)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25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IFERROR(__xludf.DUMMYFUNCTION("IMPORTRANGE(""https://docs.google.com/spreadsheets/d/1XL5vhW3sbDhbH9Cz0tuDiY8C3ctxq1tqvaCgkFb8cCA/edit?usp=sharing"",""มหาสารคาม!J287"")"),1)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25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IFERROR(__xludf.DUMMYFUNCTION("IMPORTRANGE(""https://docs.google.com/spreadsheets/d/1XL5vhW3sbDhbH9Cz0tuDiY8C3ctxq1tqvaCgkFb8cCA/edit?usp=sharing"",""มหาสารคาม!J288"")"),1)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25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IFERROR(__xludf.DUMMYFUNCTION("IMPORTRANGE(""https://docs.google.com/spreadsheets/d/1XL5vhW3sbDhbH9Cz0tuDiY8C3ctxq1tqvaCgkFb8cCA/edit?usp=sharing"",""มหาสารคาม!J289"")"),1)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25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25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IFERROR(__xludf.DUMMYFUNCTION("IMPORTRANGE(""https://docs.google.com/spreadsheets/d/1XL5vhW3sbDhbH9Cz0tuDiY8C3ctxq1tqvaCgkFb8cCA/edit?usp=sharing"",""มหาสารคาม!I291"")"),100)</f>
        <v>100</v>
      </c>
      <c r="J396" s="199">
        <f ca="1">IFERROR(__xludf.DUMMYFUNCTION("IMPORTRANGE(""https://docs.google.com/spreadsheets/d/1XL5vhW3sbDhbH9Cz0tuDiY8C3ctxq1tqvaCgkFb8cCA/edit?usp=sharing"",""มหาสารคาม!J291"")"),100)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25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IFERROR(__xludf.DUMMYFUNCTION("IMPORTRANGE(""https://docs.google.com/spreadsheets/d/1XL5vhW3sbDhbH9Cz0tuDiY8C3ctxq1tqvaCgkFb8cCA/edit?usp=sharing"",""มหาสารคาม!I292"")"),1000)</f>
        <v>1000</v>
      </c>
      <c r="J397" s="199">
        <f ca="1">IFERROR(__xludf.DUMMYFUNCTION("IMPORTRANGE(""https://docs.google.com/spreadsheets/d/1XL5vhW3sbDhbH9Cz0tuDiY8C3ctxq1tqvaCgkFb8cCA/edit?usp=sharing"",""มหาสารคาม!J292"")"),0)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25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IFERROR(__xludf.DUMMYFUNCTION("IMPORTRANGE(""https://docs.google.com/spreadsheets/d/1XL5vhW3sbDhbH9Cz0tuDiY8C3ctxq1tqvaCgkFb8cCA/edit?usp=sharing"",""มหาสารคาม!I293"")"),100)</f>
        <v>100</v>
      </c>
      <c r="J398" s="199">
        <f ca="1">IFERROR(__xludf.DUMMYFUNCTION("IMPORTRANGE(""https://docs.google.com/spreadsheets/d/1XL5vhW3sbDhbH9Cz0tuDiY8C3ctxq1tqvaCgkFb8cCA/edit?usp=sharing"",""มหาสารคาม!J293"")"),0)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25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IFERROR(__xludf.DUMMYFUNCTION("IMPORTRANGE(""https://docs.google.com/spreadsheets/d/1XL5vhW3sbDhbH9Cz0tuDiY8C3ctxq1tqvaCgkFb8cCA/edit?usp=sharing"",""มหาสารคาม!J294"")"),0)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25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IFERROR(__xludf.DUMMYFUNCTION("IMPORTRANGE(""https://docs.google.com/spreadsheets/d/1XL5vhW3sbDhbH9Cz0tuDiY8C3ctxq1tqvaCgkFb8cCA/edit?usp=sharing"",""มหาสารคาม!M296"")"),52019)</f>
        <v>52019</v>
      </c>
      <c r="O401" s="373">
        <f ca="1">+IF(L401&gt;0,N401*100/L401,0)</f>
        <v>22.203773262762507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IFERROR(__xludf.DUMMYFUNCTION("IMPORTRANGE(""https://docs.google.com/spreadsheets/d/1XL5vhW3sbDhbH9Cz0tuDiY8C3ctxq1tqvaCgkFb8cCA/edit?usp=sharing"",""มหาสารคาม!L298"")"),0)</f>
        <v>0</v>
      </c>
      <c r="M403" s="166"/>
      <c r="N403" s="170">
        <f ca="1">IFERROR(__xludf.DUMMYFUNCTION("IMPORTRANGE(""https://docs.google.com/spreadsheets/d/1XL5vhW3sbDhbH9Cz0tuDiY8C3ctxq1tqvaCgkFb8cCA/edit?usp=sharing"",""มหาสารคาม!M298"")"),0)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25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IFERROR(__xludf.DUMMYFUNCTION("IMPORTRANGE(""https://docs.google.com/spreadsheets/d/1XL5vhW3sbDhbH9Cz0tuDiY8C3ctxq1tqvaCgkFb8cCA/edit?usp=sharing"",""มหาสารคาม!L299"")"),234280)</f>
        <v>234280</v>
      </c>
      <c r="M404" s="167"/>
      <c r="N404" s="170">
        <f ca="1">IFERROR(__xludf.DUMMYFUNCTION("IMPORTRANGE(""https://docs.google.com/spreadsheets/d/1XL5vhW3sbDhbH9Cz0tuDiY8C3ctxq1tqvaCgkFb8cCA/edit?usp=sharing"",""มหาสารคาม!M299"")"),52019)</f>
        <v>52019</v>
      </c>
      <c r="O404" s="170">
        <f t="shared" ca="1" si="112"/>
        <v>22.203773262762507</v>
      </c>
      <c r="P404" s="170"/>
    </row>
    <row r="405" spans="1:16" ht="21.75" customHeight="1" x14ac:dyDescent="0.25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IFERROR(__xludf.DUMMYFUNCTION("IMPORTRANGE(""https://docs.google.com/spreadsheets/d/1XL5vhW3sbDhbH9Cz0tuDiY8C3ctxq1tqvaCgkFb8cCA/edit?usp=sharing"",""มหาสารคาม!L300"")"),0)</f>
        <v>0</v>
      </c>
      <c r="M405" s="170"/>
      <c r="N405" s="170">
        <f ca="1">IFERROR(__xludf.DUMMYFUNCTION("IMPORTRANGE(""https://docs.google.com/spreadsheets/d/1XL5vhW3sbDhbH9Cz0tuDiY8C3ctxq1tqvaCgkFb8cCA/edit?usp=sharing"",""มหาสารคาม!M300"")"),0)</f>
        <v>0</v>
      </c>
      <c r="O405" s="170">
        <f t="shared" ca="1" si="112"/>
        <v>0</v>
      </c>
      <c r="P405" s="170"/>
    </row>
    <row r="406" spans="1:16" ht="21.75" customHeight="1" x14ac:dyDescent="0.25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IFERROR(__xludf.DUMMYFUNCTION("IMPORTRANGE(""https://docs.google.com/spreadsheets/d/1XL5vhW3sbDhbH9Cz0tuDiY8C3ctxq1tqvaCgkFb8cCA/edit?usp=sharing"",""มหาสารคาม!L301"")"),234280)</f>
        <v>234280</v>
      </c>
      <c r="M406" s="170"/>
      <c r="N406" s="170">
        <f ca="1">IFERROR(__xludf.DUMMYFUNCTION("IMPORTRANGE(""https://docs.google.com/spreadsheets/d/1XL5vhW3sbDhbH9Cz0tuDiY8C3ctxq1tqvaCgkFb8cCA/edit?usp=sharing"",""มหาสารคาม!M301"")"),52019)</f>
        <v>52019</v>
      </c>
      <c r="O406" s="170">
        <f t="shared" ca="1" si="112"/>
        <v>22.203773262762507</v>
      </c>
      <c r="P406" s="170"/>
    </row>
    <row r="407" spans="1:16" ht="21.75" customHeight="1" x14ac:dyDescent="0.25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IFERROR(__xludf.DUMMYFUNCTION("IMPORTRANGE(""https://docs.google.com/spreadsheets/d/1XL5vhW3sbDhbH9Cz0tuDiY8C3ctxq1tqvaCgkFb8cCA/edit?usp=sharing"",""มหาสารคาม!M302"")"),49299)</f>
        <v>49299</v>
      </c>
      <c r="O407" s="170"/>
      <c r="P407" s="170"/>
    </row>
    <row r="408" spans="1:16" ht="21.75" customHeight="1" x14ac:dyDescent="0.25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IFERROR(__xludf.DUMMYFUNCTION("IMPORTRANGE(""https://docs.google.com/spreadsheets/d/1XL5vhW3sbDhbH9Cz0tuDiY8C3ctxq1tqvaCgkFb8cCA/edit?usp=sharing"",""มหาสารคาม!M303"")"),0)</f>
        <v>0</v>
      </c>
      <c r="O408" s="170"/>
      <c r="P408" s="170"/>
    </row>
    <row r="409" spans="1:16" ht="21.75" customHeight="1" x14ac:dyDescent="0.25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70"/>
      <c r="P409" s="170"/>
    </row>
    <row r="410" spans="1:16" ht="21.75" customHeight="1" x14ac:dyDescent="0.25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IFERROR(__xludf.DUMMYFUNCTION("IMPORTRANGE(""https://docs.google.com/spreadsheets/d/1XL5vhW3sbDhbH9Cz0tuDiY8C3ctxq1tqvaCgkFb8cCA/edit?usp=sharing"",""มหาสารคาม!M305"")"),2720)</f>
        <v>2720</v>
      </c>
      <c r="O410" s="170"/>
      <c r="P410" s="170"/>
    </row>
    <row r="411" spans="1:16" ht="21.75" customHeight="1" x14ac:dyDescent="0.25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25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IFERROR(__xludf.DUMMYFUNCTION("IMPORTRANGE(""https://docs.google.com/spreadsheets/d/1XL5vhW3sbDhbH9Cz0tuDiY8C3ctxq1tqvaCgkFb8cCA/edit?usp=sharing"",""มหาสารคาม!J307"")"),0)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25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IFERROR(__xludf.DUMMYFUNCTION("IMPORTRANGE(""https://docs.google.com/spreadsheets/d/1XL5vhW3sbDhbH9Cz0tuDiY8C3ctxq1tqvaCgkFb8cCA/edit?usp=sharing"",""มหาสารคาม!J308"")"),1)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25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IFERROR(__xludf.DUMMYFUNCTION("IMPORTRANGE(""https://docs.google.com/spreadsheets/d/1XL5vhW3sbDhbH9Cz0tuDiY8C3ctxq1tqvaCgkFb8cCA/edit?usp=sharing"",""มหาสารคาม!J309"")"),1)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25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IFERROR(__xludf.DUMMYFUNCTION("IMPORTRANGE(""https://docs.google.com/spreadsheets/d/1XL5vhW3sbDhbH9Cz0tuDiY8C3ctxq1tqvaCgkFb8cCA/edit?usp=sharing"",""มหาสารคาม!J310"")"),1)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25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IFERROR(__xludf.DUMMYFUNCTION("IMPORTRANGE(""https://docs.google.com/spreadsheets/d/1XL5vhW3sbDhbH9Cz0tuDiY8C3ctxq1tqvaCgkFb8cCA/edit?usp=sharing"",""มหาสารคาม!I311"")"),70)</f>
        <v>70</v>
      </c>
      <c r="J416" s="202">
        <f ca="1">IFERROR(__xludf.DUMMYFUNCTION("IMPORTRANGE(""https://docs.google.com/spreadsheets/d/1XL5vhW3sbDhbH9Cz0tuDiY8C3ctxq1tqvaCgkFb8cCA/edit?usp=sharing"",""มหาสารคาม!J311"")"),0)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3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3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3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3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3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3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3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3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3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3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3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3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3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3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25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IFERROR(__xludf.DUMMYFUNCTION("IMPORTRANGE(""https://docs.google.com/spreadsheets/d/1XL5vhW3sbDhbH9Cz0tuDiY8C3ctxq1tqvaCgkFb8cCA/edit?usp=sharing"",""มหาสารคาม!J328"")"),0)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25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IFERROR(__xludf.DUMMYFUNCTION("IMPORTRANGE(""https://docs.google.com/spreadsheets/d/1XL5vhW3sbDhbH9Cz0tuDiY8C3ctxq1tqvaCgkFb8cCA/edit?usp=sharing"",""มหาสารคาม!L330"")"),101000)</f>
        <v>101000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IFERROR(__xludf.DUMMYFUNCTION("IMPORTRANGE(""https://docs.google.com/spreadsheets/d/1XL5vhW3sbDhbH9Cz0tuDiY8C3ctxq1tqvaCgkFb8cCA/edit?usp=sharing"",""มหาสารคาม!M330"")"),30174)</f>
        <v>30174</v>
      </c>
      <c r="O435" s="412">
        <f t="shared" ref="O435:O439" ca="1" si="114">+IF(L435&gt;0,N435*100/L435,0)</f>
        <v>29.875247524752474</v>
      </c>
      <c r="P435" s="412"/>
    </row>
    <row r="436" spans="1:16" ht="21.75" customHeight="1" x14ac:dyDescent="0.25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IFERROR(__xludf.DUMMYFUNCTION("IMPORTRANGE(""https://docs.google.com/spreadsheets/d/1XL5vhW3sbDhbH9Cz0tuDiY8C3ctxq1tqvaCgkFb8cCA/edit?usp=sharing"",""มหาสารคาม!L331"")"),0)</f>
        <v>0</v>
      </c>
      <c r="M436" s="166"/>
      <c r="N436" s="170">
        <f ca="1">IFERROR(__xludf.DUMMYFUNCTION("IMPORTRANGE(""https://docs.google.com/spreadsheets/d/1XL5vhW3sbDhbH9Cz0tuDiY8C3ctxq1tqvaCgkFb8cCA/edit?usp=sharing"",""มหาสารคาม!M331"")"),0)</f>
        <v>0</v>
      </c>
      <c r="O436" s="170">
        <f t="shared" ca="1" si="114"/>
        <v>0</v>
      </c>
      <c r="P436" s="170"/>
    </row>
    <row r="437" spans="1:16" ht="21.75" customHeight="1" x14ac:dyDescent="0.25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IFERROR(__xludf.DUMMYFUNCTION("IMPORTRANGE(""https://docs.google.com/spreadsheets/d/1XL5vhW3sbDhbH9Cz0tuDiY8C3ctxq1tqvaCgkFb8cCA/edit?usp=sharing"",""มหาสารคาม!L332"")"),101000)</f>
        <v>101000</v>
      </c>
      <c r="M437" s="167"/>
      <c r="N437" s="170">
        <f ca="1">IFERROR(__xludf.DUMMYFUNCTION("IMPORTRANGE(""https://docs.google.com/spreadsheets/d/1XL5vhW3sbDhbH9Cz0tuDiY8C3ctxq1tqvaCgkFb8cCA/edit?usp=sharing"",""มหาสารคาม!M332"")"),30174)</f>
        <v>30174</v>
      </c>
      <c r="O437" s="170">
        <f t="shared" ca="1" si="114"/>
        <v>29.875247524752474</v>
      </c>
      <c r="P437" s="170"/>
    </row>
    <row r="438" spans="1:16" ht="21.75" customHeight="1" x14ac:dyDescent="0.25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IFERROR(__xludf.DUMMYFUNCTION("IMPORTRANGE(""https://docs.google.com/spreadsheets/d/1XL5vhW3sbDhbH9Cz0tuDiY8C3ctxq1tqvaCgkFb8cCA/edit?usp=sharing"",""มหาสารคาม!L333"")"),0)</f>
        <v>0</v>
      </c>
      <c r="M438" s="170"/>
      <c r="N438" s="170">
        <f ca="1">IFERROR(__xludf.DUMMYFUNCTION("IMPORTRANGE(""https://docs.google.com/spreadsheets/d/1XL5vhW3sbDhbH9Cz0tuDiY8C3ctxq1tqvaCgkFb8cCA/edit?usp=sharing"",""มหาสารคาม!M333"")"),0)</f>
        <v>0</v>
      </c>
      <c r="O438" s="170">
        <f t="shared" ca="1" si="114"/>
        <v>0</v>
      </c>
      <c r="P438" s="170"/>
    </row>
    <row r="439" spans="1:16" ht="21.75" customHeight="1" x14ac:dyDescent="0.25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IFERROR(__xludf.DUMMYFUNCTION("IMPORTRANGE(""https://docs.google.com/spreadsheets/d/1XL5vhW3sbDhbH9Cz0tuDiY8C3ctxq1tqvaCgkFb8cCA/edit?usp=sharing"",""มหาสารคาม!L334"")"),101000)</f>
        <v>101000</v>
      </c>
      <c r="M439" s="170"/>
      <c r="N439" s="170">
        <f ca="1">IFERROR(__xludf.DUMMYFUNCTION("IMPORTRANGE(""https://docs.google.com/spreadsheets/d/1XL5vhW3sbDhbH9Cz0tuDiY8C3ctxq1tqvaCgkFb8cCA/edit?usp=sharing"",""มหาสารคาม!M334"")"),30174)</f>
        <v>30174</v>
      </c>
      <c r="O439" s="170">
        <f t="shared" ca="1" si="114"/>
        <v>29.875247524752474</v>
      </c>
      <c r="P439" s="170"/>
    </row>
    <row r="440" spans="1:16" ht="21.75" customHeight="1" x14ac:dyDescent="0.25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IFERROR(__xludf.DUMMYFUNCTION("IMPORTRANGE(""https://docs.google.com/spreadsheets/d/1XL5vhW3sbDhbH9Cz0tuDiY8C3ctxq1tqvaCgkFb8cCA/edit?usp=sharing"",""มหาสารคาม!M335"")"),30174)</f>
        <v>30174</v>
      </c>
      <c r="O440" s="170"/>
      <c r="P440" s="170"/>
    </row>
    <row r="441" spans="1:16" ht="21.75" customHeight="1" x14ac:dyDescent="0.25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70"/>
      <c r="P441" s="170"/>
    </row>
    <row r="442" spans="1:16" ht="21.75" customHeight="1" x14ac:dyDescent="0.25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70"/>
      <c r="P442" s="170"/>
    </row>
    <row r="443" spans="1:16" ht="21.75" customHeight="1" x14ac:dyDescent="0.25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IFERROR(__xludf.DUMMYFUNCTION("IMPORTRANGE(""https://docs.google.com/spreadsheets/d/1XL5vhW3sbDhbH9Cz0tuDiY8C3ctxq1tqvaCgkFb8cCA/edit?usp=sharing"",""มหาสารคาม!M338"")"),0)</f>
        <v>0</v>
      </c>
      <c r="O443" s="170"/>
      <c r="P443" s="170"/>
    </row>
    <row r="444" spans="1:16" ht="21.75" customHeight="1" x14ac:dyDescent="0.25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25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25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25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IFERROR(__xludf.DUMMYFUNCTION("IMPORTRANGE(""https://docs.google.com/spreadsheets/d/1XL5vhW3sbDhbH9Cz0tuDiY8C3ctxq1tqvaCgkFb8cCA/edit?usp=sharing"",""มหาสารคาม!J342"")"),1)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25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IFERROR(__xludf.DUMMYFUNCTION("IMPORTRANGE(""https://docs.google.com/spreadsheets/d/1XL5vhW3sbDhbH9Cz0tuDiY8C3ctxq1tqvaCgkFb8cCA/edit?usp=sharing"",""มหาสารคาม!J343"")"),1)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25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2">
        <f ca="1">IFERROR(__xludf.DUMMYFUNCTION("IMPORTRANGE(""https://docs.google.com/spreadsheets/d/1XL5vhW3sbDhbH9Cz0tuDiY8C3ctxq1tqvaCgkFb8cCA/edit?usp=sharing"",""มหาสารคาม!J344"")"),21)</f>
        <v>21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25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IFERROR(__xludf.DUMMYFUNCTION("IMPORTRANGE(""https://docs.google.com/spreadsheets/d/1XL5vhW3sbDhbH9Cz0tuDiY8C3ctxq1tqvaCgkFb8cCA/edit?usp=sharing"",""มหาสารคาม!I345"")"),21)</f>
        <v>21</v>
      </c>
      <c r="J450" s="190">
        <f ca="1">IFERROR(__xludf.DUMMYFUNCTION("IMPORTRANGE(""https://docs.google.com/spreadsheets/d/1XL5vhW3sbDhbH9Cz0tuDiY8C3ctxq1tqvaCgkFb8cCA/edit?usp=sharing"",""มหาสารคาม!J345"")"),21)</f>
        <v>21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25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IFERROR(__xludf.DUMMYFUNCTION("IMPORTRANGE(""https://docs.google.com/spreadsheets/d/1XL5vhW3sbDhbH9Cz0tuDiY8C3ctxq1tqvaCgkFb8cCA/edit?usp=sharing"",""มหาสารคาม!I346"")"),0)</f>
        <v>0</v>
      </c>
      <c r="J451" s="189">
        <f ca="1">IFERROR(__xludf.DUMMYFUNCTION("IMPORTRANGE(""https://docs.google.com/spreadsheets/d/1XL5vhW3sbDhbH9Cz0tuDiY8C3ctxq1tqvaCgkFb8cCA/edit?usp=sharing"",""มหาสารคาม!J346"")"),0)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25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IFERROR(__xludf.DUMMYFUNCTION("IMPORTRANGE(""https://docs.google.com/spreadsheets/d/1XL5vhW3sbDhbH9Cz0tuDiY8C3ctxq1tqvaCgkFb8cCA/edit?usp=sharing"",""มหาสารคาม!I347"")"),0)</f>
        <v>0</v>
      </c>
      <c r="J452" s="189">
        <f ca="1">IFERROR(__xludf.DUMMYFUNCTION("IMPORTRANGE(""https://docs.google.com/spreadsheets/d/1XL5vhW3sbDhbH9Cz0tuDiY8C3ctxq1tqvaCgkFb8cCA/edit?usp=sharing"",""มหาสารคาม!J347"")"),0)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25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IFERROR(__xludf.DUMMYFUNCTION("IMPORTRANGE(""https://docs.google.com/spreadsheets/d/1XL5vhW3sbDhbH9Cz0tuDiY8C3ctxq1tqvaCgkFb8cCA/edit?usp=sharing"",""มหาสารคาม!J348"")"),0)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25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IFERROR(__xludf.DUMMYFUNCTION("IMPORTRANGE(""https://docs.google.com/spreadsheets/d/1XL5vhW3sbDhbH9Cz0tuDiY8C3ctxq1tqvaCgkFb8cCA/edit?usp=sharing"",""มหาสารคาม!M350"")"),17680)</f>
        <v>17680</v>
      </c>
      <c r="O455" s="373">
        <f t="shared" ref="O455:O459" ca="1" si="116">+IF(L455&gt;0,N455*100/L455,0)</f>
        <v>8.4336257435471786</v>
      </c>
      <c r="P455" s="373"/>
    </row>
    <row r="456" spans="1:16" ht="21.75" customHeight="1" x14ac:dyDescent="0.25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IFERROR(__xludf.DUMMYFUNCTION("IMPORTRANGE(""https://docs.google.com/spreadsheets/d/1XL5vhW3sbDhbH9Cz0tuDiY8C3ctxq1tqvaCgkFb8cCA/edit?usp=sharing"",""มหาสารคาม!L351"")"),0)</f>
        <v>0</v>
      </c>
      <c r="M456" s="166"/>
      <c r="N456" s="170">
        <f ca="1">IFERROR(__xludf.DUMMYFUNCTION("IMPORTRANGE(""https://docs.google.com/spreadsheets/d/1XL5vhW3sbDhbH9Cz0tuDiY8C3ctxq1tqvaCgkFb8cCA/edit?usp=sharing"",""มหาสารคาม!M351"")"),0)</f>
        <v>0</v>
      </c>
      <c r="O456" s="170">
        <f t="shared" ca="1" si="116"/>
        <v>0</v>
      </c>
      <c r="P456" s="170"/>
    </row>
    <row r="457" spans="1:16" ht="21.75" customHeight="1" x14ac:dyDescent="0.25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IFERROR(__xludf.DUMMYFUNCTION("IMPORTRANGE(""https://docs.google.com/spreadsheets/d/1XL5vhW3sbDhbH9Cz0tuDiY8C3ctxq1tqvaCgkFb8cCA/edit?usp=sharing"",""มหาสารคาม!L352"")"),209637)</f>
        <v>209637</v>
      </c>
      <c r="M457" s="167"/>
      <c r="N457" s="170">
        <f ca="1">IFERROR(__xludf.DUMMYFUNCTION("IMPORTRANGE(""https://docs.google.com/spreadsheets/d/1XL5vhW3sbDhbH9Cz0tuDiY8C3ctxq1tqvaCgkFb8cCA/edit?usp=sharing"",""มหาสารคาม!M352"")"),17680)</f>
        <v>17680</v>
      </c>
      <c r="O457" s="170">
        <f t="shared" ca="1" si="116"/>
        <v>8.4336257435471786</v>
      </c>
      <c r="P457" s="170"/>
    </row>
    <row r="458" spans="1:16" ht="21.75" customHeight="1" x14ac:dyDescent="0.25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IFERROR(__xludf.DUMMYFUNCTION("IMPORTRANGE(""https://docs.google.com/spreadsheets/d/1XL5vhW3sbDhbH9Cz0tuDiY8C3ctxq1tqvaCgkFb8cCA/edit?usp=sharing"",""มหาสารคาม!L353"")"),0)</f>
        <v>0</v>
      </c>
      <c r="M458" s="170"/>
      <c r="N458" s="170">
        <f ca="1">IFERROR(__xludf.DUMMYFUNCTION("IMPORTRANGE(""https://docs.google.com/spreadsheets/d/1XL5vhW3sbDhbH9Cz0tuDiY8C3ctxq1tqvaCgkFb8cCA/edit?usp=sharing"",""มหาสารคาม!M353"")"),0)</f>
        <v>0</v>
      </c>
      <c r="O458" s="170">
        <f t="shared" ca="1" si="116"/>
        <v>0</v>
      </c>
      <c r="P458" s="170"/>
    </row>
    <row r="459" spans="1:16" ht="21.75" customHeight="1" x14ac:dyDescent="0.25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IFERROR(__xludf.DUMMYFUNCTION("IMPORTRANGE(""https://docs.google.com/spreadsheets/d/1XL5vhW3sbDhbH9Cz0tuDiY8C3ctxq1tqvaCgkFb8cCA/edit?usp=sharing"",""มหาสารคาม!L354"")"),209637)</f>
        <v>209637</v>
      </c>
      <c r="M459" s="170"/>
      <c r="N459" s="170">
        <f ca="1">IFERROR(__xludf.DUMMYFUNCTION("IMPORTRANGE(""https://docs.google.com/spreadsheets/d/1XL5vhW3sbDhbH9Cz0tuDiY8C3ctxq1tqvaCgkFb8cCA/edit?usp=sharing"",""มหาสารคาม!M354"")"),17680)</f>
        <v>17680</v>
      </c>
      <c r="O459" s="170">
        <f t="shared" ca="1" si="116"/>
        <v>8.4336257435471786</v>
      </c>
      <c r="P459" s="170"/>
    </row>
    <row r="460" spans="1:16" ht="21.75" customHeight="1" x14ac:dyDescent="0.25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IFERROR(__xludf.DUMMYFUNCTION("IMPORTRANGE(""https://docs.google.com/spreadsheets/d/1XL5vhW3sbDhbH9Cz0tuDiY8C3ctxq1tqvaCgkFb8cCA/edit?usp=sharing"",""มหาสารคาม!M355"")"),0)</f>
        <v>0</v>
      </c>
      <c r="O460" s="170"/>
      <c r="P460" s="170"/>
    </row>
    <row r="461" spans="1:16" ht="21.75" customHeight="1" x14ac:dyDescent="0.25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IFERROR(__xludf.DUMMYFUNCTION("IMPORTRANGE(""https://docs.google.com/spreadsheets/d/1XL5vhW3sbDhbH9Cz0tuDiY8C3ctxq1tqvaCgkFb8cCA/edit?usp=sharing"",""มหาสารคาม!M356"")"),0)</f>
        <v>0</v>
      </c>
      <c r="O461" s="170"/>
      <c r="P461" s="170"/>
    </row>
    <row r="462" spans="1:16" ht="21.75" customHeight="1" x14ac:dyDescent="0.25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70"/>
      <c r="P462" s="170"/>
    </row>
    <row r="463" spans="1:16" ht="21.75" customHeight="1" x14ac:dyDescent="0.25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IFERROR(__xludf.DUMMYFUNCTION("IMPORTRANGE(""https://docs.google.com/spreadsheets/d/1XL5vhW3sbDhbH9Cz0tuDiY8C3ctxq1tqvaCgkFb8cCA/edit?usp=sharing"",""มหาสารคาม!M358"")"),17680)</f>
        <v>17680</v>
      </c>
      <c r="O463" s="170"/>
      <c r="P463" s="170"/>
    </row>
    <row r="464" spans="1:16" ht="21.75" customHeight="1" x14ac:dyDescent="0.25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3">
        <f t="shared" ca="1" si="117"/>
        <v>100.0005602913515</v>
      </c>
      <c r="L465" s="183"/>
      <c r="M465" s="183"/>
      <c r="N465" s="183"/>
      <c r="O465" s="183"/>
      <c r="P465" s="183"/>
    </row>
    <row r="466" spans="1:16" ht="21.75" customHeight="1" x14ac:dyDescent="0.25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25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IFERROR(__xludf.DUMMYFUNCTION("IMPORTRANGE(""https://docs.google.com/spreadsheets/d/1XL5vhW3sbDhbH9Cz0tuDiY8C3ctxq1tqvaCgkFb8cCA/edit?usp=sharing"",""มหาสารคาม!I362"")"),0)</f>
        <v>0</v>
      </c>
      <c r="J467" s="190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25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IFERROR(__xludf.DUMMYFUNCTION("IMPORTRANGE(""https://docs.google.com/spreadsheets/d/1XL5vhW3sbDhbH9Cz0tuDiY8C3ctxq1tqvaCgkFb8cCA/edit?usp=sharing"",""มหาสารคาม!I363"")"),0)</f>
        <v>0</v>
      </c>
      <c r="J468" s="190">
        <f ca="1">IFERROR(__xludf.DUMMYFUNCTION("IMPORTRANGE(""https://docs.google.com/spreadsheets/d/1XL5vhW3sbDhbH9Cz0tuDiY8C3ctxq1tqvaCgkFb8cCA/edit?usp=sharing"",""มหาสารคาม!J363"")"),2853)</f>
        <v>2853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25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IFERROR(__xludf.DUMMYFUNCTION("IMPORTRANGE(""https://docs.google.com/spreadsheets/d/1XL5vhW3sbDhbH9Cz0tuDiY8C3ctxq1tqvaCgkFb8cCA/edit?usp=sharing"",""มหาสารคาม!I364"")"),0)</f>
        <v>0</v>
      </c>
      <c r="J469" s="190">
        <f ca="1">IFERROR(__xludf.DUMMYFUNCTION("IMPORTRANGE(""https://docs.google.com/spreadsheets/d/1XL5vhW3sbDhbH9Cz0tuDiY8C3ctxq1tqvaCgkFb8cCA/edit?usp=sharing"",""มหาสารคาม!J364"")"),1126.68)</f>
        <v>1126.68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25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IFERROR(__xludf.DUMMYFUNCTION("IMPORTRANGE(""https://docs.google.com/spreadsheets/d/1XL5vhW3sbDhbH9Cz0tuDiY8C3ctxq1tqvaCgkFb8cCA/edit?usp=sharing"",""มหาสารคาม!I365"")"),0)</f>
        <v>0</v>
      </c>
      <c r="J470" s="190">
        <f ca="1">IFERROR(__xludf.DUMMYFUNCTION("IMPORTRANGE(""https://docs.google.com/spreadsheets/d/1XL5vhW3sbDhbH9Cz0tuDiY8C3ctxq1tqvaCgkFb8cCA/edit?usp=sharing"",""มหาสารคาม!J365"")"),156)</f>
        <v>156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25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IFERROR(__xludf.DUMMYFUNCTION("IMPORTRANGE(""https://docs.google.com/spreadsheets/d/1XL5vhW3sbDhbH9Cz0tuDiY8C3ctxq1tqvaCgkFb8cCA/edit?usp=sharing"",""มหาสารคาม!I366"")"),0)</f>
        <v>0</v>
      </c>
      <c r="J471" s="190">
        <f ca="1">IFERROR(__xludf.DUMMYFUNCTION("IMPORTRANGE(""https://docs.google.com/spreadsheets/d/1XL5vhW3sbDhbH9Cz0tuDiY8C3ctxq1tqvaCgkFb8cCA/edit?usp=sharing"",""มหาสารคาม!J366"")"),1354)</f>
        <v>1354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25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IFERROR(__xludf.DUMMYFUNCTION("IMPORTRANGE(""https://docs.google.com/spreadsheets/d/1XL5vhW3sbDhbH9Cz0tuDiY8C3ctxq1tqvaCgkFb8cCA/edit?usp=sharing"",""มหาสารคาม!I367"")"),0)</f>
        <v>0</v>
      </c>
      <c r="J472" s="190">
        <f ca="1">IFERROR(__xludf.DUMMYFUNCTION("IMPORTRANGE(""https://docs.google.com/spreadsheets/d/1XL5vhW3sbDhbH9Cz0tuDiY8C3ctxq1tqvaCgkFb8cCA/edit?usp=sharing"",""มหาสารคาม!J367"")"),157)</f>
        <v>157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25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3">
        <f t="shared" ca="1" si="117"/>
        <v>100</v>
      </c>
      <c r="L473" s="183"/>
      <c r="M473" s="183"/>
      <c r="N473" s="183"/>
      <c r="O473" s="183"/>
      <c r="P473" s="183"/>
    </row>
    <row r="474" spans="1:16" ht="21.75" customHeight="1" x14ac:dyDescent="0.25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25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IFERROR(__xludf.DUMMYFUNCTION("IMPORTRANGE(""https://docs.google.com/spreadsheets/d/1XL5vhW3sbDhbH9Cz0tuDiY8C3ctxq1tqvaCgkFb8cCA/edit?usp=sharing"",""มหาสารคาม!I370"")"),0)</f>
        <v>0</v>
      </c>
      <c r="J475" s="190">
        <f ca="1">IFERROR(__xludf.DUMMYFUNCTION("IMPORTRANGE(""https://docs.google.com/spreadsheets/d/1XL5vhW3sbDhbH9Cz0tuDiY8C3ctxq1tqvaCgkFb8cCA/edit?usp=sharing"",""มหาสารคาม!J370"")"),23199)</f>
        <v>23199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25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IFERROR(__xludf.DUMMYFUNCTION("IMPORTRANGE(""https://docs.google.com/spreadsheets/d/1XL5vhW3sbDhbH9Cz0tuDiY8C3ctxq1tqvaCgkFb8cCA/edit?usp=sharing"",""มหาสารคาม!I371"")"),0)</f>
        <v>0</v>
      </c>
      <c r="J476" s="190">
        <f ca="1">IFERROR(__xludf.DUMMYFUNCTION("IMPORTRANGE(""https://docs.google.com/spreadsheets/d/1XL5vhW3sbDhbH9Cz0tuDiY8C3ctxq1tqvaCgkFb8cCA/edit?usp=sharing"",""มหาสารคาม!J371"")"),2949)</f>
        <v>2949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25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IFERROR(__xludf.DUMMYFUNCTION("IMPORTRANGE(""https://docs.google.com/spreadsheets/d/1XL5vhW3sbDhbH9Cz0tuDiY8C3ctxq1tqvaCgkFb8cCA/edit?usp=sharing"",""มหาสารคาม!I372"")"),0)</f>
        <v>0</v>
      </c>
      <c r="J477" s="190">
        <f ca="1">IFERROR(__xludf.DUMMYFUNCTION("IMPORTRANGE(""https://docs.google.com/spreadsheets/d/1XL5vhW3sbDhbH9Cz0tuDiY8C3ctxq1tqvaCgkFb8cCA/edit?usp=sharing"",""มหาสารคาม!J372"")"),533)</f>
        <v>533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25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IFERROR(__xludf.DUMMYFUNCTION("IMPORTRANGE(""https://docs.google.com/spreadsheets/d/1XL5vhW3sbDhbH9Cz0tuDiY8C3ctxq1tqvaCgkFb8cCA/edit?usp=sharing"",""มหาสารคาม!I373"")"),0)</f>
        <v>0</v>
      </c>
      <c r="J478" s="190">
        <f ca="1">IFERROR(__xludf.DUMMYFUNCTION("IMPORTRANGE(""https://docs.google.com/spreadsheets/d/1XL5vhW3sbDhbH9Cz0tuDiY8C3ctxq1tqvaCgkFb8cCA/edit?usp=sharing"",""มหาสารคาม!J373"")"),69)</f>
        <v>69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25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IFERROR(__xludf.DUMMYFUNCTION("IMPORTRANGE(""https://docs.google.com/spreadsheets/d/1XL5vhW3sbDhbH9Cz0tuDiY8C3ctxq1tqvaCgkFb8cCA/edit?usp=sharing"",""มหาสารคาม!I374"")"),0)</f>
        <v>0</v>
      </c>
      <c r="J479" s="190">
        <f ca="1">IFERROR(__xludf.DUMMYFUNCTION("IMPORTRANGE(""https://docs.google.com/spreadsheets/d/1XL5vhW3sbDhbH9Cz0tuDiY8C3ctxq1tqvaCgkFb8cCA/edit?usp=sharing"",""มหาสารคาม!J374"")"),1255)</f>
        <v>1255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25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IFERROR(__xludf.DUMMYFUNCTION("IMPORTRANGE(""https://docs.google.com/spreadsheets/d/1XL5vhW3sbDhbH9Cz0tuDiY8C3ctxq1tqvaCgkFb8cCA/edit?usp=sharing"",""มหาสารคาม!I375"")"),0)</f>
        <v>0</v>
      </c>
      <c r="J480" s="190">
        <f ca="1">IFERROR(__xludf.DUMMYFUNCTION("IMPORTRANGE(""https://docs.google.com/spreadsheets/d/1XL5vhW3sbDhbH9Cz0tuDiY8C3ctxq1tqvaCgkFb8cCA/edit?usp=sharing"",""มหาสารคาม!J375"")"),148)</f>
        <v>148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3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165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 x14ac:dyDescent="0.25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IFERROR(__xludf.DUMMYFUNCTION("IMPORTRANGE(""https://docs.google.com/spreadsheets/d/1XL5vhW3sbDhbH9Cz0tuDiY8C3ctxq1tqvaCgkFb8cCA/edit?usp=sharing"",""มหาสารคาม!I378"")"),0)</f>
        <v>0</v>
      </c>
      <c r="J483" s="190">
        <f ca="1">IFERROR(__xludf.DUMMYFUNCTION("IMPORTRANGE(""https://docs.google.com/spreadsheets/d/1XL5vhW3sbDhbH9Cz0tuDiY8C3ctxq1tqvaCgkFb8cCA/edit?usp=sharing"",""มหาสารคาม!J378"")"),23199)</f>
        <v>23199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25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IFERROR(__xludf.DUMMYFUNCTION("IMPORTRANGE(""https://docs.google.com/spreadsheets/d/1XL5vhW3sbDhbH9Cz0tuDiY8C3ctxq1tqvaCgkFb8cCA/edit?usp=sharing"",""มหาสารคาม!I379"")"),0)</f>
        <v>0</v>
      </c>
      <c r="J484" s="190">
        <f ca="1">IFERROR(__xludf.DUMMYFUNCTION("IMPORTRANGE(""https://docs.google.com/spreadsheets/d/1XL5vhW3sbDhbH9Cz0tuDiY8C3ctxq1tqvaCgkFb8cCA/edit?usp=sharing"",""มหาสารคาม!J379"")"),2949)</f>
        <v>2949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25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IFERROR(__xludf.DUMMYFUNCTION("IMPORTRANGE(""https://docs.google.com/spreadsheets/d/1XL5vhW3sbDhbH9Cz0tuDiY8C3ctxq1tqvaCgkFb8cCA/edit?usp=sharing"",""มหาสารคาม!I380"")"),0)</f>
        <v>0</v>
      </c>
      <c r="J485" s="190">
        <f ca="1">IFERROR(__xludf.DUMMYFUNCTION("IMPORTRANGE(""https://docs.google.com/spreadsheets/d/1XL5vhW3sbDhbH9Cz0tuDiY8C3ctxq1tqvaCgkFb8cCA/edit?usp=sharing"",""มหาสารคาม!J380"")"),533)</f>
        <v>533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25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IFERROR(__xludf.DUMMYFUNCTION("IMPORTRANGE(""https://docs.google.com/spreadsheets/d/1XL5vhW3sbDhbH9Cz0tuDiY8C3ctxq1tqvaCgkFb8cCA/edit?usp=sharing"",""มหาสารคาม!I381"")"),0)</f>
        <v>0</v>
      </c>
      <c r="J486" s="190">
        <f ca="1">IFERROR(__xludf.DUMMYFUNCTION("IMPORTRANGE(""https://docs.google.com/spreadsheets/d/1XL5vhW3sbDhbH9Cz0tuDiY8C3ctxq1tqvaCgkFb8cCA/edit?usp=sharing"",""มหาสารคาม!J381"")"),69)</f>
        <v>69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25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25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25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IFERROR(__xludf.DUMMYFUNCTION("IMPORTRANGE(""https://docs.google.com/spreadsheets/d/1XL5vhW3sbDhbH9Cz0tuDiY8C3ctxq1tqvaCgkFb8cCA/edit?usp=sharing"",""มหาสารคาม!I384"")"),0)</f>
        <v>0</v>
      </c>
      <c r="J489" s="190">
        <f ca="1">IFERROR(__xludf.DUMMYFUNCTION("IMPORTRANGE(""https://docs.google.com/spreadsheets/d/1XL5vhW3sbDhbH9Cz0tuDiY8C3ctxq1tqvaCgkFb8cCA/edit?usp=sharing"",""มหาสารคาม!J384"")"),1203)</f>
        <v>1203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25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IFERROR(__xludf.DUMMYFUNCTION("IMPORTRANGE(""https://docs.google.com/spreadsheets/d/1XL5vhW3sbDhbH9Cz0tuDiY8C3ctxq1tqvaCgkFb8cCA/edit?usp=sharing"",""มหาสารคาม!I385"")"),0)</f>
        <v>0</v>
      </c>
      <c r="J490" s="190">
        <f ca="1">IFERROR(__xludf.DUMMYFUNCTION("IMPORTRANGE(""https://docs.google.com/spreadsheets/d/1XL5vhW3sbDhbH9Cz0tuDiY8C3ctxq1tqvaCgkFb8cCA/edit?usp=sharing"",""มหาสารคาม!J385"")"),143)</f>
        <v>143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25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IFERROR(__xludf.DUMMYFUNCTION("IMPORTRANGE(""https://docs.google.com/spreadsheets/d/1XL5vhW3sbDhbH9Cz0tuDiY8C3ctxq1tqvaCgkFb8cCA/edit?usp=sharing"",""มหาสารคาม!I386"")"),0)</f>
        <v>0</v>
      </c>
      <c r="J491" s="190">
        <f ca="1">IFERROR(__xludf.DUMMYFUNCTION("IMPORTRANGE(""https://docs.google.com/spreadsheets/d/1XL5vhW3sbDhbH9Cz0tuDiY8C3ctxq1tqvaCgkFb8cCA/edit?usp=sharing"",""มหาสารคาม!J386"")"),52)</f>
        <v>52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25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IFERROR(__xludf.DUMMYFUNCTION("IMPORTRANGE(""https://docs.google.com/spreadsheets/d/1XL5vhW3sbDhbH9Cz0tuDiY8C3ctxq1tqvaCgkFb8cCA/edit?usp=sharing"",""มหาสารคาม!I387"")"),0)</f>
        <v>0</v>
      </c>
      <c r="J492" s="190">
        <f ca="1">IFERROR(__xludf.DUMMYFUNCTION("IMPORTRANGE(""https://docs.google.com/spreadsheets/d/1XL5vhW3sbDhbH9Cz0tuDiY8C3ctxq1tqvaCgkFb8cCA/edit?usp=sharing"",""มหาสารคาม!J387"")"),5)</f>
        <v>5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25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IFERROR(__xludf.DUMMYFUNCTION("IMPORTRANGE(""https://docs.google.com/spreadsheets/d/1XL5vhW3sbDhbH9Cz0tuDiY8C3ctxq1tqvaCgkFb8cCA/edit?usp=sharing"",""มหาสารคาม!I388"")"),0)</f>
        <v>0</v>
      </c>
      <c r="J493" s="190">
        <f ca="1">IFERROR(__xludf.DUMMYFUNCTION("IMPORTRANGE(""https://docs.google.com/spreadsheets/d/1XL5vhW3sbDhbH9Cz0tuDiY8C3ctxq1tqvaCgkFb8cCA/edit?usp=sharing"",""มหาสารคาม!J388"")"),0)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25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25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IFERROR(__xludf.DUMMYFUNCTION("IMPORTRANGE(""https://docs.google.com/spreadsheets/d/1XL5vhW3sbDhbH9Cz0tuDiY8C3ctxq1tqvaCgkFb8cCA/edit?usp=sharing"",""มหาสารคาม!I395"")"),0)</f>
        <v>0</v>
      </c>
      <c r="J500" s="164">
        <f ca="1">IFERROR(__xludf.DUMMYFUNCTION("IMPORTRANGE(""https://docs.google.com/spreadsheets/d/1XL5vhW3sbDhbH9Cz0tuDiY8C3ctxq1tqvaCgkFb8cCA/edit?usp=sharing"",""มหาสารคาม!J395"")"),0)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25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IFERROR(__xludf.DUMMYFUNCTION("IMPORTRANGE(""https://docs.google.com/spreadsheets/d/1XL5vhW3sbDhbH9Cz0tuDiY8C3ctxq1tqvaCgkFb8cCA/edit?usp=sharing"",""มหาสารคาม!I396"")"),0)</f>
        <v>0</v>
      </c>
      <c r="J501" s="164">
        <f ca="1">IFERROR(__xludf.DUMMYFUNCTION("IMPORTRANGE(""https://docs.google.com/spreadsheets/d/1XL5vhW3sbDhbH9Cz0tuDiY8C3ctxq1tqvaCgkFb8cCA/edit?usp=sharing"",""มหาสารคาม!J396"")"),0)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25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IFERROR(__xludf.DUMMYFUNCTION("IMPORTRANGE(""https://docs.google.com/spreadsheets/d/1XL5vhW3sbDhbH9Cz0tuDiY8C3ctxq1tqvaCgkFb8cCA/edit?usp=sharing"",""มหาสารคาม!I397"")"),0)</f>
        <v>0</v>
      </c>
      <c r="J502" s="190">
        <f ca="1">IFERROR(__xludf.DUMMYFUNCTION("IMPORTRANGE(""https://docs.google.com/spreadsheets/d/1XL5vhW3sbDhbH9Cz0tuDiY8C3ctxq1tqvaCgkFb8cCA/edit?usp=sharing"",""มหาสารคาม!J397"")"),0)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25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IFERROR(__xludf.DUMMYFUNCTION("IMPORTRANGE(""https://docs.google.com/spreadsheets/d/1XL5vhW3sbDhbH9Cz0tuDiY8C3ctxq1tqvaCgkFb8cCA/edit?usp=sharing"",""มหาสารคาม!I398"")"),0)</f>
        <v>0</v>
      </c>
      <c r="J503" s="199">
        <f ca="1">IFERROR(__xludf.DUMMYFUNCTION("IMPORTRANGE(""https://docs.google.com/spreadsheets/d/1XL5vhW3sbDhbH9Cz0tuDiY8C3ctxq1tqvaCgkFb8cCA/edit?usp=sharing"",""มหาสารคาม!J398"")"),0)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25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IFERROR(__xludf.DUMMYFUNCTION("IMPORTRANGE(""https://docs.google.com/spreadsheets/d/1XL5vhW3sbDhbH9Cz0tuDiY8C3ctxq1tqvaCgkFb8cCA/edit?usp=sharing"",""มหาสารคาม!I399"")"),0)</f>
        <v>0</v>
      </c>
      <c r="J504" s="190">
        <f ca="1">IFERROR(__xludf.DUMMYFUNCTION("IMPORTRANGE(""https://docs.google.com/spreadsheets/d/1XL5vhW3sbDhbH9Cz0tuDiY8C3ctxq1tqvaCgkFb8cCA/edit?usp=sharing"",""มหาสารคาม!J399"")"),0)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25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IFERROR(__xludf.DUMMYFUNCTION("IMPORTRANGE(""https://docs.google.com/spreadsheets/d/1XL5vhW3sbDhbH9Cz0tuDiY8C3ctxq1tqvaCgkFb8cCA/edit?usp=sharing"",""มหาสารคาม!I400"")"),0)</f>
        <v>0</v>
      </c>
      <c r="J505" s="199">
        <f ca="1">IFERROR(__xludf.DUMMYFUNCTION("IMPORTRANGE(""https://docs.google.com/spreadsheets/d/1XL5vhW3sbDhbH9Cz0tuDiY8C3ctxq1tqvaCgkFb8cCA/edit?usp=sharing"",""มหาสารคาม!J400"")"),0)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25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IFERROR(__xludf.DUMMYFUNCTION("IMPORTRANGE(""https://docs.google.com/spreadsheets/d/1XL5vhW3sbDhbH9Cz0tuDiY8C3ctxq1tqvaCgkFb8cCA/edit?usp=sharing"",""มหาสารคาม!I401"")"),0)</f>
        <v>0</v>
      </c>
      <c r="J506" s="190">
        <f ca="1">IFERROR(__xludf.DUMMYFUNCTION("IMPORTRANGE(""https://docs.google.com/spreadsheets/d/1XL5vhW3sbDhbH9Cz0tuDiY8C3ctxq1tqvaCgkFb8cCA/edit?usp=sharing"",""มหาสารคาม!J401"")"),0)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25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IFERROR(__xludf.DUMMYFUNCTION("IMPORTRANGE(""https://docs.google.com/spreadsheets/d/1XL5vhW3sbDhbH9Cz0tuDiY8C3ctxq1tqvaCgkFb8cCA/edit?usp=sharing"",""มหาสารคาม!I402"")"),0)</f>
        <v>0</v>
      </c>
      <c r="J507" s="199">
        <f ca="1">IFERROR(__xludf.DUMMYFUNCTION("IMPORTRANGE(""https://docs.google.com/spreadsheets/d/1XL5vhW3sbDhbH9Cz0tuDiY8C3ctxq1tqvaCgkFb8cCA/edit?usp=sharing"",""มหาสารคาม!J402"")"),0)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25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IFERROR(__xludf.DUMMYFUNCTION("IMPORTRANGE(""https://docs.google.com/spreadsheets/d/1XL5vhW3sbDhbH9Cz0tuDiY8C3ctxq1tqvaCgkFb8cCA/edit?usp=sharing"",""มหาสารคาม!I403"")"),0)</f>
        <v>0</v>
      </c>
      <c r="J508" s="164">
        <f ca="1">IFERROR(__xludf.DUMMYFUNCTION("IMPORTRANGE(""https://docs.google.com/spreadsheets/d/1XL5vhW3sbDhbH9Cz0tuDiY8C3ctxq1tqvaCgkFb8cCA/edit?usp=sharing"",""มหาสารคาม!J403"")"),0)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25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IFERROR(__xludf.DUMMYFUNCTION("IMPORTRANGE(""https://docs.google.com/spreadsheets/d/1XL5vhW3sbDhbH9Cz0tuDiY8C3ctxq1tqvaCgkFb8cCA/edit?usp=sharing"",""มหาสารคาม!I404"")"),0)</f>
        <v>0</v>
      </c>
      <c r="J509" s="164">
        <f ca="1">IFERROR(__xludf.DUMMYFUNCTION("IMPORTRANGE(""https://docs.google.com/spreadsheets/d/1XL5vhW3sbDhbH9Cz0tuDiY8C3ctxq1tqvaCgkFb8cCA/edit?usp=sharing"",""มหาสารคาม!J404"")"),0)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25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IFERROR(__xludf.DUMMYFUNCTION("IMPORTRANGE(""https://docs.google.com/spreadsheets/d/1XL5vhW3sbDhbH9Cz0tuDiY8C3ctxq1tqvaCgkFb8cCA/edit?usp=sharing"",""มหาสารคาม!I405"")"),0)</f>
        <v>0</v>
      </c>
      <c r="J510" s="199">
        <f ca="1">IFERROR(__xludf.DUMMYFUNCTION("IMPORTRANGE(""https://docs.google.com/spreadsheets/d/1XL5vhW3sbDhbH9Cz0tuDiY8C3ctxq1tqvaCgkFb8cCA/edit?usp=sharing"",""มหาสารคาม!J405"")"),0)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25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IFERROR(__xludf.DUMMYFUNCTION("IMPORTRANGE(""https://docs.google.com/spreadsheets/d/1XL5vhW3sbDhbH9Cz0tuDiY8C3ctxq1tqvaCgkFb8cCA/edit?usp=sharing"",""มหาสารคาม!I406"")"),0)</f>
        <v>0</v>
      </c>
      <c r="J511" s="199">
        <f ca="1">IFERROR(__xludf.DUMMYFUNCTION("IMPORTRANGE(""https://docs.google.com/spreadsheets/d/1XL5vhW3sbDhbH9Cz0tuDiY8C3ctxq1tqvaCgkFb8cCA/edit?usp=sharing"",""มหาสารคาม!J406"")"),0)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25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IFERROR(__xludf.DUMMYFUNCTION("IMPORTRANGE(""https://docs.google.com/spreadsheets/d/1XL5vhW3sbDhbH9Cz0tuDiY8C3ctxq1tqvaCgkFb8cCA/edit?usp=sharing"",""มหาสารคาม!I407"")"),0)</f>
        <v>0</v>
      </c>
      <c r="J512" s="199">
        <f ca="1">IFERROR(__xludf.DUMMYFUNCTION("IMPORTRANGE(""https://docs.google.com/spreadsheets/d/1XL5vhW3sbDhbH9Cz0tuDiY8C3ctxq1tqvaCgkFb8cCA/edit?usp=sharing"",""มหาสารคาม!J407"")"),0)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25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IFERROR(__xludf.DUMMYFUNCTION("IMPORTRANGE(""https://docs.google.com/spreadsheets/d/1XL5vhW3sbDhbH9Cz0tuDiY8C3ctxq1tqvaCgkFb8cCA/edit?usp=sharing"",""มหาสารคาม!I408"")"),0)</f>
        <v>0</v>
      </c>
      <c r="J513" s="199">
        <f ca="1">IFERROR(__xludf.DUMMYFUNCTION("IMPORTRANGE(""https://docs.google.com/spreadsheets/d/1XL5vhW3sbDhbH9Cz0tuDiY8C3ctxq1tqvaCgkFb8cCA/edit?usp=sharing"",""มหาสารคาม!J408"")"),0)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25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IFERROR(__xludf.DUMMYFUNCTION("IMPORTRANGE(""https://docs.google.com/spreadsheets/d/1XL5vhW3sbDhbH9Cz0tuDiY8C3ctxq1tqvaCgkFb8cCA/edit?usp=sharing"",""มหาสารคาม!I409"")"),0)</f>
        <v>0</v>
      </c>
      <c r="J514" s="199">
        <f ca="1">IFERROR(__xludf.DUMMYFUNCTION("IMPORTRANGE(""https://docs.google.com/spreadsheets/d/1XL5vhW3sbDhbH9Cz0tuDiY8C3ctxq1tqvaCgkFb8cCA/edit?usp=sharing"",""มหาสารคาม!J409"")"),0)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25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IFERROR(__xludf.DUMMYFUNCTION("IMPORTRANGE(""https://docs.google.com/spreadsheets/d/1XL5vhW3sbDhbH9Cz0tuDiY8C3ctxq1tqvaCgkFb8cCA/edit?usp=sharing"",""มหาสารคาม!I410"")"),0)</f>
        <v>0</v>
      </c>
      <c r="J515" s="199">
        <f ca="1">IFERROR(__xludf.DUMMYFUNCTION("IMPORTRANGE(""https://docs.google.com/spreadsheets/d/1XL5vhW3sbDhbH9Cz0tuDiY8C3ctxq1tqvaCgkFb8cCA/edit?usp=sharing"",""มหาสารคาม!J410"")"),0)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25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25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IFERROR(__xludf.DUMMYFUNCTION("IMPORTRANGE(""https://docs.google.com/spreadsheets/d/1XL5vhW3sbDhbH9Cz0tuDiY8C3ctxq1tqvaCgkFb8cCA/edit?usp=sharing"",""มหาสารคาม!I412"")"),0)</f>
        <v>0</v>
      </c>
      <c r="J517" s="284">
        <f ca="1">IFERROR(__xludf.DUMMYFUNCTION("IMPORTRANGE(""https://docs.google.com/spreadsheets/d/1XL5vhW3sbDhbH9Cz0tuDiY8C3ctxq1tqvaCgkFb8cCA/edit?usp=sharing"",""มหาสารคาม!J412"")"),0)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25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IFERROR(__xludf.DUMMYFUNCTION("IMPORTRANGE(""https://docs.google.com/spreadsheets/d/1XL5vhW3sbDhbH9Cz0tuDiY8C3ctxq1tqvaCgkFb8cCA/edit?usp=sharing"",""มหาสารคาม!I413"")"),0)</f>
        <v>0</v>
      </c>
      <c r="J518" s="284">
        <f ca="1">IFERROR(__xludf.DUMMYFUNCTION("IMPORTRANGE(""https://docs.google.com/spreadsheets/d/1XL5vhW3sbDhbH9Cz0tuDiY8C3ctxq1tqvaCgkFb8cCA/edit?usp=sharing"",""มหาสารคาม!J413"")"),0)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25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IFERROR(__xludf.DUMMYFUNCTION("IMPORTRANGE(""https://docs.google.com/spreadsheets/d/1XL5vhW3sbDhbH9Cz0tuDiY8C3ctxq1tqvaCgkFb8cCA/edit?usp=sharing"",""มหาสารคาม!I414"")"),0)</f>
        <v>0</v>
      </c>
      <c r="J519" s="189">
        <f ca="1">IFERROR(__xludf.DUMMYFUNCTION("IMPORTRANGE(""https://docs.google.com/spreadsheets/d/1XL5vhW3sbDhbH9Cz0tuDiY8C3ctxq1tqvaCgkFb8cCA/edit?usp=sharing"",""มหาสารคาม!J414"")"),0)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25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IFERROR(__xludf.DUMMYFUNCTION("IMPORTRANGE(""https://docs.google.com/spreadsheets/d/1XL5vhW3sbDhbH9Cz0tuDiY8C3ctxq1tqvaCgkFb8cCA/edit?usp=sharing"",""มหาสารคาม!I415"")"),0)</f>
        <v>0</v>
      </c>
      <c r="J520" s="189">
        <f ca="1">IFERROR(__xludf.DUMMYFUNCTION("IMPORTRANGE(""https://docs.google.com/spreadsheets/d/1XL5vhW3sbDhbH9Cz0tuDiY8C3ctxq1tqvaCgkFb8cCA/edit?usp=sharing"",""มหาสารคาม!J415"")"),0)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25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IFERROR(__xludf.DUMMYFUNCTION("IMPORTRANGE(""https://docs.google.com/spreadsheets/d/1XL5vhW3sbDhbH9Cz0tuDiY8C3ctxq1tqvaCgkFb8cCA/edit?usp=sharing"",""มหาสารคาม!I416"")"),0)</f>
        <v>0</v>
      </c>
      <c r="J521" s="189">
        <f ca="1">IFERROR(__xludf.DUMMYFUNCTION("IMPORTRANGE(""https://docs.google.com/spreadsheets/d/1XL5vhW3sbDhbH9Cz0tuDiY8C3ctxq1tqvaCgkFb8cCA/edit?usp=sharing"",""มหาสารคาม!J416"")"),0)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25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IFERROR(__xludf.DUMMYFUNCTION("IMPORTRANGE(""https://docs.google.com/spreadsheets/d/1XL5vhW3sbDhbH9Cz0tuDiY8C3ctxq1tqvaCgkFb8cCA/edit?usp=sharing"",""มหาสารคาม!I417"")"),0)</f>
        <v>0</v>
      </c>
      <c r="J522" s="189">
        <f ca="1">IFERROR(__xludf.DUMMYFUNCTION("IMPORTRANGE(""https://docs.google.com/spreadsheets/d/1XL5vhW3sbDhbH9Cz0tuDiY8C3ctxq1tqvaCgkFb8cCA/edit?usp=sharing"",""มหาสารคาม!J417"")"),0)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25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IFERROR(__xludf.DUMMYFUNCTION("IMPORTRANGE(""https://docs.google.com/spreadsheets/d/1XL5vhW3sbDhbH9Cz0tuDiY8C3ctxq1tqvaCgkFb8cCA/edit?usp=sharing"",""มหาสารคาม!I418"")"),0)</f>
        <v>0</v>
      </c>
      <c r="J523" s="189">
        <f ca="1">IFERROR(__xludf.DUMMYFUNCTION("IMPORTRANGE(""https://docs.google.com/spreadsheets/d/1XL5vhW3sbDhbH9Cz0tuDiY8C3ctxq1tqvaCgkFb8cCA/edit?usp=sharing"",""มหาสารคาม!J418"")"),0)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25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IFERROR(__xludf.DUMMYFUNCTION("IMPORTRANGE(""https://docs.google.com/spreadsheets/d/1XL5vhW3sbDhbH9Cz0tuDiY8C3ctxq1tqvaCgkFb8cCA/edit?usp=sharing"",""มหาสารคาม!I419"")"),0)</f>
        <v>0</v>
      </c>
      <c r="J524" s="189">
        <f ca="1">IFERROR(__xludf.DUMMYFUNCTION("IMPORTRANGE(""https://docs.google.com/spreadsheets/d/1XL5vhW3sbDhbH9Cz0tuDiY8C3ctxq1tqvaCgkFb8cCA/edit?usp=sharing"",""มหาสารคาม!J419"")"),0)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25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IFERROR(__xludf.DUMMYFUNCTION("IMPORTRANGE(""https://docs.google.com/spreadsheets/d/1XL5vhW3sbDhbH9Cz0tuDiY8C3ctxq1tqvaCgkFb8cCA/edit?usp=sharing"",""มหาสารคาม!I420"")"),0)</f>
        <v>0</v>
      </c>
      <c r="J525" s="284">
        <f ca="1">IFERROR(__xludf.DUMMYFUNCTION("IMPORTRANGE(""https://docs.google.com/spreadsheets/d/1XL5vhW3sbDhbH9Cz0tuDiY8C3ctxq1tqvaCgkFb8cCA/edit?usp=sharing"",""มหาสารคาม!J420"")"),0)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25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IFERROR(__xludf.DUMMYFUNCTION("IMPORTRANGE(""https://docs.google.com/spreadsheets/d/1XL5vhW3sbDhbH9Cz0tuDiY8C3ctxq1tqvaCgkFb8cCA/edit?usp=sharing"",""มหาสารคาม!I421"")"),0)</f>
        <v>0</v>
      </c>
      <c r="J526" s="284">
        <f ca="1">IFERROR(__xludf.DUMMYFUNCTION("IMPORTRANGE(""https://docs.google.com/spreadsheets/d/1XL5vhW3sbDhbH9Cz0tuDiY8C3ctxq1tqvaCgkFb8cCA/edit?usp=sharing"",""มหาสารคาม!J421"")"),0)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25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IFERROR(__xludf.DUMMYFUNCTION("IMPORTRANGE(""https://docs.google.com/spreadsheets/d/1XL5vhW3sbDhbH9Cz0tuDiY8C3ctxq1tqvaCgkFb8cCA/edit?usp=sharing"",""มหาสารคาม!I422"")"),0)</f>
        <v>0</v>
      </c>
      <c r="J527" s="199">
        <f ca="1">IFERROR(__xludf.DUMMYFUNCTION("IMPORTRANGE(""https://docs.google.com/spreadsheets/d/1XL5vhW3sbDhbH9Cz0tuDiY8C3ctxq1tqvaCgkFb8cCA/edit?usp=sharing"",""มหาสารคาม!J422"")"),0)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25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IFERROR(__xludf.DUMMYFUNCTION("IMPORTRANGE(""https://docs.google.com/spreadsheets/d/1XL5vhW3sbDhbH9Cz0tuDiY8C3ctxq1tqvaCgkFb8cCA/edit?usp=sharing"",""มหาสารคาม!I423"")"),0)</f>
        <v>0</v>
      </c>
      <c r="J528" s="199">
        <f ca="1">IFERROR(__xludf.DUMMYFUNCTION("IMPORTRANGE(""https://docs.google.com/spreadsheets/d/1XL5vhW3sbDhbH9Cz0tuDiY8C3ctxq1tqvaCgkFb8cCA/edit?usp=sharing"",""มหาสารคาม!J423"")"),0)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25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IFERROR(__xludf.DUMMYFUNCTION("IMPORTRANGE(""https://docs.google.com/spreadsheets/d/1XL5vhW3sbDhbH9Cz0tuDiY8C3ctxq1tqvaCgkFb8cCA/edit?usp=sharing"",""มหาสารคาม!I424"")"),0)</f>
        <v>0</v>
      </c>
      <c r="J529" s="199">
        <f ca="1">IFERROR(__xludf.DUMMYFUNCTION("IMPORTRANGE(""https://docs.google.com/spreadsheets/d/1XL5vhW3sbDhbH9Cz0tuDiY8C3ctxq1tqvaCgkFb8cCA/edit?usp=sharing"",""มหาสารคาม!J424"")"),0)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25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IFERROR(__xludf.DUMMYFUNCTION("IMPORTRANGE(""https://docs.google.com/spreadsheets/d/1XL5vhW3sbDhbH9Cz0tuDiY8C3ctxq1tqvaCgkFb8cCA/edit?usp=sharing"",""มหาสารคาม!I425"")"),0)</f>
        <v>0</v>
      </c>
      <c r="J530" s="199">
        <f ca="1">IFERROR(__xludf.DUMMYFUNCTION("IMPORTRANGE(""https://docs.google.com/spreadsheets/d/1XL5vhW3sbDhbH9Cz0tuDiY8C3ctxq1tqvaCgkFb8cCA/edit?usp=sharing"",""มหาสารคาม!J425"")"),0)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25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IFERROR(__xludf.DUMMYFUNCTION("IMPORTRANGE(""https://docs.google.com/spreadsheets/d/1XL5vhW3sbDhbH9Cz0tuDiY8C3ctxq1tqvaCgkFb8cCA/edit?usp=sharing"",""มหาสารคาม!I426"")"),0)</f>
        <v>0</v>
      </c>
      <c r="J531" s="199">
        <f ca="1">IFERROR(__xludf.DUMMYFUNCTION("IMPORTRANGE(""https://docs.google.com/spreadsheets/d/1XL5vhW3sbDhbH9Cz0tuDiY8C3ctxq1tqvaCgkFb8cCA/edit?usp=sharing"",""มหาสารคาม!J426"")"),0)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IFERROR(__xludf.DUMMYFUNCTION("IMPORTRANGE(""https://docs.google.com/spreadsheets/d/1XL5vhW3sbDhbH9Cz0tuDiY8C3ctxq1tqvaCgkFb8cCA/edit?usp=sharing"",""มหาสารคาม!M428"")"),27520)</f>
        <v>27520</v>
      </c>
      <c r="O533" s="412">
        <f t="shared" ref="O533:O537" ca="1" si="118">+IF(L533&gt;0,N533*100/L533,0)</f>
        <v>80.139778683750734</v>
      </c>
      <c r="P533" s="412"/>
    </row>
    <row r="534" spans="1:16" ht="21.75" customHeight="1" x14ac:dyDescent="0.25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IFERROR(__xludf.DUMMYFUNCTION("IMPORTRANGE(""https://docs.google.com/spreadsheets/d/1XL5vhW3sbDhbH9Cz0tuDiY8C3ctxq1tqvaCgkFb8cCA/edit?usp=sharing"",""มหาสารคาม!L429"")"),0)</f>
        <v>0</v>
      </c>
      <c r="M534" s="166"/>
      <c r="N534" s="170">
        <f ca="1">IFERROR(__xludf.DUMMYFUNCTION("IMPORTRANGE(""https://docs.google.com/spreadsheets/d/1XL5vhW3sbDhbH9Cz0tuDiY8C3ctxq1tqvaCgkFb8cCA/edit?usp=sharing"",""มหาสารคาม!M429"")"),0)</f>
        <v>0</v>
      </c>
      <c r="O534" s="170">
        <f t="shared" ca="1" si="118"/>
        <v>0</v>
      </c>
      <c r="P534" s="170"/>
    </row>
    <row r="535" spans="1:16" ht="21.75" customHeight="1" x14ac:dyDescent="0.25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IFERROR(__xludf.DUMMYFUNCTION("IMPORTRANGE(""https://docs.google.com/spreadsheets/d/1XL5vhW3sbDhbH9Cz0tuDiY8C3ctxq1tqvaCgkFb8cCA/edit?usp=sharing"",""มหาสารคาม!L430"")"),34340)</f>
        <v>34340</v>
      </c>
      <c r="M535" s="167"/>
      <c r="N535" s="170">
        <f ca="1">IFERROR(__xludf.DUMMYFUNCTION("IMPORTRANGE(""https://docs.google.com/spreadsheets/d/1XL5vhW3sbDhbH9Cz0tuDiY8C3ctxq1tqvaCgkFb8cCA/edit?usp=sharing"",""มหาสารคาม!M430"")"),27520)</f>
        <v>27520</v>
      </c>
      <c r="O535" s="170">
        <f t="shared" ca="1" si="118"/>
        <v>80.139778683750734</v>
      </c>
      <c r="P535" s="170"/>
    </row>
    <row r="536" spans="1:16" ht="21.75" customHeight="1" x14ac:dyDescent="0.25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IFERROR(__xludf.DUMMYFUNCTION("IMPORTRANGE(""https://docs.google.com/spreadsheets/d/1XL5vhW3sbDhbH9Cz0tuDiY8C3ctxq1tqvaCgkFb8cCA/edit?usp=sharing"",""มหาสารคาม!L431"")"),0)</f>
        <v>0</v>
      </c>
      <c r="M536" s="170"/>
      <c r="N536" s="170">
        <f ca="1">IFERROR(__xludf.DUMMYFUNCTION("IMPORTRANGE(""https://docs.google.com/spreadsheets/d/1XL5vhW3sbDhbH9Cz0tuDiY8C3ctxq1tqvaCgkFb8cCA/edit?usp=sharing"",""มหาสารคาม!M431"")"),0)</f>
        <v>0</v>
      </c>
      <c r="O536" s="170">
        <f t="shared" ca="1" si="118"/>
        <v>0</v>
      </c>
      <c r="P536" s="170"/>
    </row>
    <row r="537" spans="1:16" ht="21.75" customHeight="1" x14ac:dyDescent="0.25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IFERROR(__xludf.DUMMYFUNCTION("IMPORTRANGE(""https://docs.google.com/spreadsheets/d/1XL5vhW3sbDhbH9Cz0tuDiY8C3ctxq1tqvaCgkFb8cCA/edit?usp=sharing"",""มหาสารคาม!L432"")"),34340)</f>
        <v>34340</v>
      </c>
      <c r="M537" s="170"/>
      <c r="N537" s="170">
        <f ca="1">IFERROR(__xludf.DUMMYFUNCTION("IMPORTRANGE(""https://docs.google.com/spreadsheets/d/1XL5vhW3sbDhbH9Cz0tuDiY8C3ctxq1tqvaCgkFb8cCA/edit?usp=sharing"",""มหาสารคาม!M432"")"),27520)</f>
        <v>27520</v>
      </c>
      <c r="O537" s="170">
        <f t="shared" ca="1" si="118"/>
        <v>80.139778683750734</v>
      </c>
      <c r="P537" s="170"/>
    </row>
    <row r="538" spans="1:16" ht="21.75" customHeight="1" x14ac:dyDescent="0.25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IFERROR(__xludf.DUMMYFUNCTION("IMPORTRANGE(""https://docs.google.com/spreadsheets/d/1XL5vhW3sbDhbH9Cz0tuDiY8C3ctxq1tqvaCgkFb8cCA/edit?usp=sharing"",""มหาสารคาม!M433"")"),16480)</f>
        <v>16480</v>
      </c>
      <c r="O538" s="170"/>
      <c r="P538" s="170"/>
    </row>
    <row r="539" spans="1:16" ht="21.75" customHeight="1" x14ac:dyDescent="0.25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70"/>
      <c r="P539" s="170"/>
    </row>
    <row r="540" spans="1:16" ht="21.75" customHeight="1" x14ac:dyDescent="0.25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70"/>
      <c r="P540" s="170"/>
    </row>
    <row r="541" spans="1:16" ht="21.75" customHeight="1" x14ac:dyDescent="0.25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IFERROR(__xludf.DUMMYFUNCTION("IMPORTRANGE(""https://docs.google.com/spreadsheets/d/1XL5vhW3sbDhbH9Cz0tuDiY8C3ctxq1tqvaCgkFb8cCA/edit?usp=sharing"",""มหาสารคาม!M436"")"),11040)</f>
        <v>11040</v>
      </c>
      <c r="O541" s="170"/>
      <c r="P541" s="170"/>
    </row>
    <row r="542" spans="1:16" ht="21.75" customHeight="1" x14ac:dyDescent="0.25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25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IFERROR(__xludf.DUMMYFUNCTION("IMPORTRANGE(""https://docs.google.com/spreadsheets/d/1XL5vhW3sbDhbH9Cz0tuDiY8C3ctxq1tqvaCgkFb8cCA/edit?usp=sharing"",""มหาสารคาม!J438"")"),0)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25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IFERROR(__xludf.DUMMYFUNCTION("IMPORTRANGE(""https://docs.google.com/spreadsheets/d/1XL5vhW3sbDhbH9Cz0tuDiY8C3ctxq1tqvaCgkFb8cCA/edit?usp=sharing"",""มหาสารคาม!J439"")"),1)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25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IFERROR(__xludf.DUMMYFUNCTION("IMPORTRANGE(""https://docs.google.com/spreadsheets/d/1XL5vhW3sbDhbH9Cz0tuDiY8C3ctxq1tqvaCgkFb8cCA/edit?usp=sharing"",""มหาสารคาม!J440"")"),1)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25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IFERROR(__xludf.DUMMYFUNCTION("IMPORTRANGE(""https://docs.google.com/spreadsheets/d/1XL5vhW3sbDhbH9Cz0tuDiY8C3ctxq1tqvaCgkFb8cCA/edit?usp=sharing"",""มหาสารคาม!J441"")"),1)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25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IFERROR(__xludf.DUMMYFUNCTION("IMPORTRANGE(""https://docs.google.com/spreadsheets/d/1XL5vhW3sbDhbH9Cz0tuDiY8C3ctxq1tqvaCgkFb8cCA/edit?usp=sharing"",""มหาสารคาม!I442"")"),22)</f>
        <v>22</v>
      </c>
      <c r="J547" s="190">
        <f ca="1">IFERROR(__xludf.DUMMYFUNCTION("IMPORTRANGE(""https://docs.google.com/spreadsheets/d/1XL5vhW3sbDhbH9Cz0tuDiY8C3ctxq1tqvaCgkFb8cCA/edit?usp=sharing"",""มหาสารคาม!J442"")"),22)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25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IFERROR(__xludf.DUMMYFUNCTION("IMPORTRANGE(""https://docs.google.com/spreadsheets/d/1XL5vhW3sbDhbH9Cz0tuDiY8C3ctxq1tqvaCgkFb8cCA/edit?usp=sharing"",""มหาสารคาม!J166"")"),0)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25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IFERROR(__xludf.DUMMYFUNCTION("IMPORTRANGE(""https://docs.google.com/spreadsheets/d/1XL5vhW3sbDhbH9Cz0tuDiY8C3ctxq1tqvaCgkFb8cCA/edit?usp=sharing"",""มหาสารคาม!J444"")"),1)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IFERROR(__xludf.DUMMYFUNCTION("IMPORTRANGE(""https://docs.google.com/spreadsheets/d/1XL5vhW3sbDhbH9Cz0tuDiY8C3ctxq1tqvaCgkFb8cCA/edit?usp=sharing"",""มหาสารคาม!L447"")"),0)</f>
        <v>0</v>
      </c>
      <c r="M552" s="166"/>
      <c r="N552" s="170">
        <f ca="1">IFERROR(__xludf.DUMMYFUNCTION("IMPORTRANGE(""https://docs.google.com/spreadsheets/d/1XL5vhW3sbDhbH9Cz0tuDiY8C3ctxq1tqvaCgkFb8cCA/edit?usp=sharing"",""มหาสารคาม!M447"")"),0)</f>
        <v>0</v>
      </c>
      <c r="O552" s="170">
        <f t="shared" ca="1" si="120"/>
        <v>0</v>
      </c>
      <c r="P552" s="170"/>
    </row>
    <row r="553" spans="1:16" ht="21.75" customHeight="1" x14ac:dyDescent="0.25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IFERROR(__xludf.DUMMYFUNCTION("IMPORTRANGE(""https://docs.google.com/spreadsheets/d/1XL5vhW3sbDhbH9Cz0tuDiY8C3ctxq1tqvaCgkFb8cCA/edit?usp=sharing"",""มหาสารคาม!L448"")"),0)</f>
        <v>0</v>
      </c>
      <c r="M553" s="167"/>
      <c r="N553" s="170">
        <f ca="1">IFERROR(__xludf.DUMMYFUNCTION("IMPORTRANGE(""https://docs.google.com/spreadsheets/d/1XL5vhW3sbDhbH9Cz0tuDiY8C3ctxq1tqvaCgkFb8cCA/edit?usp=sharing"",""มหาสารคาม!M448"")"),0)</f>
        <v>0</v>
      </c>
      <c r="O553" s="170">
        <f t="shared" ca="1" si="120"/>
        <v>0</v>
      </c>
      <c r="P553" s="170"/>
    </row>
    <row r="554" spans="1:16" ht="21.75" customHeight="1" x14ac:dyDescent="0.25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IFERROR(__xludf.DUMMYFUNCTION("IMPORTRANGE(""https://docs.google.com/spreadsheets/d/1XL5vhW3sbDhbH9Cz0tuDiY8C3ctxq1tqvaCgkFb8cCA/edit?usp=sharing"",""มหาสารคาม!L449"")"),0)</f>
        <v>0</v>
      </c>
      <c r="M554" s="170"/>
      <c r="N554" s="170">
        <f ca="1">IFERROR(__xludf.DUMMYFUNCTION("IMPORTRANGE(""https://docs.google.com/spreadsheets/d/1XL5vhW3sbDhbH9Cz0tuDiY8C3ctxq1tqvaCgkFb8cCA/edit?usp=sharing"",""มหาสารคาม!M449"")"),0)</f>
        <v>0</v>
      </c>
      <c r="O554" s="170">
        <f t="shared" ca="1" si="120"/>
        <v>0</v>
      </c>
      <c r="P554" s="170"/>
    </row>
    <row r="555" spans="1:16" ht="21.75" customHeight="1" x14ac:dyDescent="0.25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IFERROR(__xludf.DUMMYFUNCTION("IMPORTRANGE(""https://docs.google.com/spreadsheets/d/1XL5vhW3sbDhbH9Cz0tuDiY8C3ctxq1tqvaCgkFb8cCA/edit?usp=sharing"",""มหาสารคาม!L450"")"),0)</f>
        <v>0</v>
      </c>
      <c r="M555" s="170"/>
      <c r="N555" s="170">
        <f ca="1">IFERROR(__xludf.DUMMYFUNCTION("IMPORTRANGE(""https://docs.google.com/spreadsheets/d/1XL5vhW3sbDhbH9Cz0tuDiY8C3ctxq1tqvaCgkFb8cCA/edit?usp=sharing"",""มหาสารคาม!M450"")"),0)</f>
        <v>0</v>
      </c>
      <c r="O555" s="170">
        <f t="shared" ca="1" si="120"/>
        <v>0</v>
      </c>
      <c r="P555" s="170"/>
    </row>
    <row r="556" spans="1:16" ht="21.75" customHeight="1" x14ac:dyDescent="0.25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IFERROR(__xludf.DUMMYFUNCTION("IMPORTRANGE(""https://docs.google.com/spreadsheets/d/1XL5vhW3sbDhbH9Cz0tuDiY8C3ctxq1tqvaCgkFb8cCA/edit?usp=sharing"",""มหาสารคาม!M451"")"),0)</f>
        <v>0</v>
      </c>
      <c r="O556" s="170"/>
      <c r="P556" s="170"/>
    </row>
    <row r="557" spans="1:16" ht="21.75" customHeight="1" x14ac:dyDescent="0.25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IFERROR(__xludf.DUMMYFUNCTION("IMPORTRANGE(""https://docs.google.com/spreadsheets/d/1XL5vhW3sbDhbH9Cz0tuDiY8C3ctxq1tqvaCgkFb8cCA/edit?usp=sharing"",""มหาสารคาม!M452"")"),0)</f>
        <v>0</v>
      </c>
      <c r="O557" s="170"/>
      <c r="P557" s="170"/>
    </row>
    <row r="558" spans="1:16" ht="21.75" customHeight="1" x14ac:dyDescent="0.25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IFERROR(__xludf.DUMMYFUNCTION("IMPORTRANGE(""https://docs.google.com/spreadsheets/d/1XL5vhW3sbDhbH9Cz0tuDiY8C3ctxq1tqvaCgkFb8cCA/edit?usp=sharing"",""มหาสารคาม!M453"")"),0)</f>
        <v>0</v>
      </c>
      <c r="O558" s="170"/>
      <c r="P558" s="170"/>
    </row>
    <row r="559" spans="1:16" ht="21.75" customHeight="1" x14ac:dyDescent="0.25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IFERROR(__xludf.DUMMYFUNCTION("IMPORTRANGE(""https://docs.google.com/spreadsheets/d/1XL5vhW3sbDhbH9Cz0tuDiY8C3ctxq1tqvaCgkFb8cCA/edit?usp=sharing"",""มหาสารคาม!M454"")"),0)</f>
        <v>0</v>
      </c>
      <c r="O559" s="170"/>
      <c r="P559" s="170"/>
    </row>
    <row r="560" spans="1:16" ht="21.75" customHeight="1" x14ac:dyDescent="0.25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IFERROR(__xludf.DUMMYFUNCTION("IMPORTRANGE(""https://docs.google.com/spreadsheets/d/1XL5vhW3sbDhbH9Cz0tuDiY8C3ctxq1tqvaCgkFb8cCA/edit?usp=sharing"",""มหาสารคาม!I455"")"),0)</f>
        <v>0</v>
      </c>
      <c r="J560" s="164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25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IFERROR(__xludf.DUMMYFUNCTION("IMPORTRANGE(""https://docs.google.com/spreadsheets/d/1XL5vhW3sbDhbH9Cz0tuDiY8C3ctxq1tqvaCgkFb8cCA/edit?usp=sharing"",""มหาสารคาม!I456"")"),0)</f>
        <v>0</v>
      </c>
      <c r="J561" s="205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25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f ca="1">IFERROR(__xludf.DUMMYFUNCTION("IMPORTRANGE(""https://docs.google.com/spreadsheets/d/1XL5vhW3sbDhbH9Cz0tuDiY8C3ctxq1tqvaCgkFb8cCA/edit?usp=sharing"",""มหาสารคาม!I457"")"),0)</f>
        <v>0</v>
      </c>
      <c r="J562" s="205" t="str">
        <f ca="1">IFERROR(__xludf.DUMMYFUNCTION("IMPORTRANGE(""https://docs.google.com/spreadsheets/d/1XL5vhW3sbDhbH9Cz0tuDiY8C3ctxq1tqvaCgkFb8cCA/edit?usp=sharing"",""มหาสารคาม!J457"")"),"")</f>
        <v/>
      </c>
      <c r="K562" s="165">
        <f t="shared" ca="1" si="121"/>
        <v>0</v>
      </c>
      <c r="L562" s="183"/>
      <c r="M562" s="183"/>
      <c r="N562" s="183"/>
      <c r="O562" s="183"/>
      <c r="P562" s="183"/>
    </row>
    <row r="563" spans="1:16" ht="21.75" customHeight="1" x14ac:dyDescent="0.25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f ca="1">IFERROR(__xludf.DUMMYFUNCTION("IMPORTRANGE(""https://docs.google.com/spreadsheets/d/1XL5vhW3sbDhbH9Cz0tuDiY8C3ctxq1tqvaCgkFb8cCA/edit?usp=sharing"",""มหาสารคาม!I458"")"),0)</f>
        <v>0</v>
      </c>
      <c r="J563" s="189" t="str">
        <f ca="1">IFERROR(__xludf.DUMMYFUNCTION("IMPORTRANGE(""https://docs.google.com/spreadsheets/d/1XL5vhW3sbDhbH9Cz0tuDiY8C3ctxq1tqvaCgkFb8cCA/edit?usp=sharing"",""มหาสารคาม!J458"")"),"")</f>
        <v/>
      </c>
      <c r="K563" s="165">
        <f t="shared" ca="1" si="121"/>
        <v>0</v>
      </c>
      <c r="L563" s="183"/>
      <c r="M563" s="183"/>
      <c r="N563" s="183"/>
      <c r="O563" s="183"/>
      <c r="P563" s="183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IFERROR(__xludf.DUMMYFUNCTION("IMPORTRANGE(""https://docs.google.com/spreadsheets/d/1XL5vhW3sbDhbH9Cz0tuDiY8C3ctxq1tqvaCgkFb8cCA/edit?usp=sharing"",""มหาสารคาม!J459"")"),705)</f>
        <v>705</v>
      </c>
      <c r="K564" s="372">
        <f t="shared" ca="1" si="121"/>
        <v>74.21052631578948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IFERROR(__xludf.DUMMYFUNCTION("IMPORTRANGE(""https://docs.google.com/spreadsheets/d/1XL5vhW3sbDhbH9Cz0tuDiY8C3ctxq1tqvaCgkFb8cCA/edit?usp=sharing"",""มหาสารคาม!M459"")"),67015.48)</f>
        <v>67015.48</v>
      </c>
      <c r="O564" s="373">
        <f t="shared" ref="O564:O568" ca="1" si="122">+IF(L564&gt;0,N564*100/L564,0)</f>
        <v>53.153140862944163</v>
      </c>
      <c r="P564" s="373"/>
    </row>
    <row r="565" spans="1:16" ht="21.75" customHeight="1" x14ac:dyDescent="0.25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IFERROR(__xludf.DUMMYFUNCTION("IMPORTRANGE(""https://docs.google.com/spreadsheets/d/1XL5vhW3sbDhbH9Cz0tuDiY8C3ctxq1tqvaCgkFb8cCA/edit?usp=sharing"",""มหาสารคาม!L460"")"),0)</f>
        <v>0</v>
      </c>
      <c r="M565" s="166"/>
      <c r="N565" s="170">
        <f ca="1">IFERROR(__xludf.DUMMYFUNCTION("IMPORTRANGE(""https://docs.google.com/spreadsheets/d/1XL5vhW3sbDhbH9Cz0tuDiY8C3ctxq1tqvaCgkFb8cCA/edit?usp=sharing"",""มหาสารคาม!M460"")"),0)</f>
        <v>0</v>
      </c>
      <c r="O565" s="170">
        <f t="shared" ca="1" si="122"/>
        <v>0</v>
      </c>
      <c r="P565" s="170"/>
    </row>
    <row r="566" spans="1:16" ht="21.75" customHeight="1" x14ac:dyDescent="0.25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IFERROR(__xludf.DUMMYFUNCTION("IMPORTRANGE(""https://docs.google.com/spreadsheets/d/1XL5vhW3sbDhbH9Cz0tuDiY8C3ctxq1tqvaCgkFb8cCA/edit?usp=sharing"",""มหาสารคาม!L461"")"),126080)</f>
        <v>126080</v>
      </c>
      <c r="M566" s="167"/>
      <c r="N566" s="170">
        <f ca="1">IFERROR(__xludf.DUMMYFUNCTION("IMPORTRANGE(""https://docs.google.com/spreadsheets/d/1XL5vhW3sbDhbH9Cz0tuDiY8C3ctxq1tqvaCgkFb8cCA/edit?usp=sharing"",""มหาสารคาม!M461"")"),67015.48)</f>
        <v>67015.48</v>
      </c>
      <c r="O566" s="170">
        <f t="shared" ca="1" si="122"/>
        <v>53.153140862944163</v>
      </c>
      <c r="P566" s="170"/>
    </row>
    <row r="567" spans="1:16" ht="21.75" customHeight="1" x14ac:dyDescent="0.25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IFERROR(__xludf.DUMMYFUNCTION("IMPORTRANGE(""https://docs.google.com/spreadsheets/d/1XL5vhW3sbDhbH9Cz0tuDiY8C3ctxq1tqvaCgkFb8cCA/edit?usp=sharing"",""มหาสารคาม!L462"")"),0)</f>
        <v>0</v>
      </c>
      <c r="M567" s="170"/>
      <c r="N567" s="170">
        <f ca="1">IFERROR(__xludf.DUMMYFUNCTION("IMPORTRANGE(""https://docs.google.com/spreadsheets/d/1XL5vhW3sbDhbH9Cz0tuDiY8C3ctxq1tqvaCgkFb8cCA/edit?usp=sharing"",""มหาสารคาม!M462"")"),0)</f>
        <v>0</v>
      </c>
      <c r="O567" s="170">
        <f t="shared" ca="1" si="122"/>
        <v>0</v>
      </c>
      <c r="P567" s="170"/>
    </row>
    <row r="568" spans="1:16" ht="21.75" customHeight="1" x14ac:dyDescent="0.25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IFERROR(__xludf.DUMMYFUNCTION("IMPORTRANGE(""https://docs.google.com/spreadsheets/d/1XL5vhW3sbDhbH9Cz0tuDiY8C3ctxq1tqvaCgkFb8cCA/edit?usp=sharing"",""มหาสารคาม!L463"")"),126080)</f>
        <v>126080</v>
      </c>
      <c r="M568" s="170"/>
      <c r="N568" s="170">
        <f ca="1">IFERROR(__xludf.DUMMYFUNCTION("IMPORTRANGE(""https://docs.google.com/spreadsheets/d/1XL5vhW3sbDhbH9Cz0tuDiY8C3ctxq1tqvaCgkFb8cCA/edit?usp=sharing"",""มหาสารคาม!M463"")"),67015.48)</f>
        <v>67015.48</v>
      </c>
      <c r="O568" s="170">
        <f t="shared" ca="1" si="122"/>
        <v>53.153140862944163</v>
      </c>
      <c r="P568" s="170"/>
    </row>
    <row r="569" spans="1:16" ht="21.75" customHeight="1" x14ac:dyDescent="0.25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IFERROR(__xludf.DUMMYFUNCTION("IMPORTRANGE(""https://docs.google.com/spreadsheets/d/1XL5vhW3sbDhbH9Cz0tuDiY8C3ctxq1tqvaCgkFb8cCA/edit?usp=sharing"",""มหาสารคาม!M464"")"),0)</f>
        <v>0</v>
      </c>
      <c r="O569" s="170"/>
      <c r="P569" s="170"/>
    </row>
    <row r="570" spans="1:16" ht="21.75" customHeight="1" x14ac:dyDescent="0.25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IFERROR(__xludf.DUMMYFUNCTION("IMPORTRANGE(""https://docs.google.com/spreadsheets/d/1XL5vhW3sbDhbH9Cz0tuDiY8C3ctxq1tqvaCgkFb8cCA/edit?usp=sharing"",""มหาสารคาม!M465"")"),0)</f>
        <v>0</v>
      </c>
      <c r="O570" s="170"/>
      <c r="P570" s="170"/>
    </row>
    <row r="571" spans="1:16" ht="21.75" customHeight="1" x14ac:dyDescent="0.25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IFERROR(__xludf.DUMMYFUNCTION("IMPORTRANGE(""https://docs.google.com/spreadsheets/d/1XL5vhW3sbDhbH9Cz0tuDiY8C3ctxq1tqvaCgkFb8cCA/edit?usp=sharing"",""มหาสารคาม!M466"")"),53935.48)</f>
        <v>53935.48</v>
      </c>
      <c r="O571" s="170"/>
      <c r="P571" s="170"/>
    </row>
    <row r="572" spans="1:16" ht="21.75" customHeight="1" x14ac:dyDescent="0.25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IFERROR(__xludf.DUMMYFUNCTION("IMPORTRANGE(""https://docs.google.com/spreadsheets/d/1XL5vhW3sbDhbH9Cz0tuDiY8C3ctxq1tqvaCgkFb8cCA/edit?usp=sharing"",""มหาสารคาม!M467"")"),13080)</f>
        <v>13080</v>
      </c>
      <c r="O572" s="170"/>
      <c r="P572" s="170"/>
    </row>
    <row r="573" spans="1:16" ht="21.75" customHeight="1" x14ac:dyDescent="0.25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IFERROR(__xludf.DUMMYFUNCTION("IMPORTRANGE(""https://docs.google.com/spreadsheets/d/1XL5vhW3sbDhbH9Cz0tuDiY8C3ctxq1tqvaCgkFb8cCA/edit?usp=sharing"",""มหาสารคาม!J468"")"),705)</f>
        <v>705</v>
      </c>
      <c r="K573" s="203">
        <f ca="1">IF(I573&gt;0,J573*100/I573,0)</f>
        <v>74.21052631578948</v>
      </c>
      <c r="L573" s="183"/>
      <c r="M573" s="183"/>
      <c r="N573" s="183"/>
      <c r="O573" s="183"/>
      <c r="P573" s="183"/>
    </row>
    <row r="574" spans="1:16" ht="21.75" customHeight="1" x14ac:dyDescent="0.25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25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IFERROR(__xludf.DUMMYFUNCTION("IMPORTRANGE(""https://docs.google.com/spreadsheets/d/1XL5vhW3sbDhbH9Cz0tuDiY8C3ctxq1tqvaCgkFb8cCA/edit?usp=sharing"",""มหาสารคาม!I470"")"),0)</f>
        <v>0</v>
      </c>
      <c r="J575" s="199">
        <f ca="1">IFERROR(__xludf.DUMMYFUNCTION("IMPORTRANGE(""https://docs.google.com/spreadsheets/d/1XL5vhW3sbDhbH9Cz0tuDiY8C3ctxq1tqvaCgkFb8cCA/edit?usp=sharing"",""มหาสารคาม!J470"")"),2)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25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IFERROR(__xludf.DUMMYFUNCTION("IMPORTRANGE(""https://docs.google.com/spreadsheets/d/1XL5vhW3sbDhbH9Cz0tuDiY8C3ctxq1tqvaCgkFb8cCA/edit?usp=sharing"",""มหาสารคาม!I471"")"),0)</f>
        <v>0</v>
      </c>
      <c r="J576" s="199">
        <f ca="1">IFERROR(__xludf.DUMMYFUNCTION("IMPORTRANGE(""https://docs.google.com/spreadsheets/d/1XL5vhW3sbDhbH9Cz0tuDiY8C3ctxq1tqvaCgkFb8cCA/edit?usp=sharing"",""มหาสารคาม!J471"")"),51)</f>
        <v>51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25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IFERROR(__xludf.DUMMYFUNCTION("IMPORTRANGE(""https://docs.google.com/spreadsheets/d/1XL5vhW3sbDhbH9Cz0tuDiY8C3ctxq1tqvaCgkFb8cCA/edit?usp=sharing"",""มหาสารคาม!I472"")"),0)</f>
        <v>0</v>
      </c>
      <c r="J577" s="190">
        <f ca="1">IFERROR(__xludf.DUMMYFUNCTION("IMPORTRANGE(""https://docs.google.com/spreadsheets/d/1XL5vhW3sbDhbH9Cz0tuDiY8C3ctxq1tqvaCgkFb8cCA/edit?usp=sharing"",""มหาสารคาม!J472"")"),654)</f>
        <v>654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25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IFERROR(__xludf.DUMMYFUNCTION("IMPORTRANGE(""https://docs.google.com/spreadsheets/d/1XL5vhW3sbDhbH9Cz0tuDiY8C3ctxq1tqvaCgkFb8cCA/edit?usp=sharing"",""มหาสารคาม!I473"")"),0)</f>
        <v>0</v>
      </c>
      <c r="J578" s="199">
        <f ca="1">IFERROR(__xludf.DUMMYFUNCTION("IMPORTRANGE(""https://docs.google.com/spreadsheets/d/1XL5vhW3sbDhbH9Cz0tuDiY8C3ctxq1tqvaCgkFb8cCA/edit?usp=sharing"",""มหาสารคาม!J473"")"),0)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25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IFERROR(__xludf.DUMMYFUNCTION("IMPORTRANGE(""https://docs.google.com/spreadsheets/d/1XL5vhW3sbDhbH9Cz0tuDiY8C3ctxq1tqvaCgkFb8cCA/edit?usp=sharing"",""มหาสารคาม!I474"")"),0)</f>
        <v>0</v>
      </c>
      <c r="J579" s="199">
        <f ca="1">IFERROR(__xludf.DUMMYFUNCTION("IMPORTRANGE(""https://docs.google.com/spreadsheets/d/1XL5vhW3sbDhbH9Cz0tuDiY8C3ctxq1tqvaCgkFb8cCA/edit?usp=sharing"",""มหาสารคาม!J474"")"),0)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IFERROR(__xludf.DUMMYFUNCTION("IMPORTRANGE(""https://docs.google.com/spreadsheets/d/1XL5vhW3sbDhbH9Cz0tuDiY8C3ctxq1tqvaCgkFb8cCA/edit?usp=sharing"",""มหาสารคาม!L476"")"),0)</f>
        <v>0</v>
      </c>
      <c r="M581" s="166"/>
      <c r="N581" s="170">
        <f ca="1">IFERROR(__xludf.DUMMYFUNCTION("IMPORTRANGE(""https://docs.google.com/spreadsheets/d/1XL5vhW3sbDhbH9Cz0tuDiY8C3ctxq1tqvaCgkFb8cCA/edit?usp=sharing"",""มหาสารคาม!M476"")"),0)</f>
        <v>0</v>
      </c>
      <c r="O581" s="170">
        <f t="shared" ca="1" si="124"/>
        <v>0</v>
      </c>
      <c r="P581" s="170"/>
    </row>
    <row r="582" spans="1:16" ht="21.75" customHeight="1" x14ac:dyDescent="0.25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IFERROR(__xludf.DUMMYFUNCTION("IMPORTRANGE(""https://docs.google.com/spreadsheets/d/1XL5vhW3sbDhbH9Cz0tuDiY8C3ctxq1tqvaCgkFb8cCA/edit?usp=sharing"",""มหาสารคาม!L477"")"),0)</f>
        <v>0</v>
      </c>
      <c r="M582" s="167"/>
      <c r="N582" s="170">
        <f ca="1">IFERROR(__xludf.DUMMYFUNCTION("IMPORTRANGE(""https://docs.google.com/spreadsheets/d/1XL5vhW3sbDhbH9Cz0tuDiY8C3ctxq1tqvaCgkFb8cCA/edit?usp=sharing"",""มหาสารคาม!M477"")"),0)</f>
        <v>0</v>
      </c>
      <c r="O582" s="170">
        <f t="shared" ca="1" si="124"/>
        <v>0</v>
      </c>
      <c r="P582" s="170"/>
    </row>
    <row r="583" spans="1:16" ht="21.75" customHeight="1" x14ac:dyDescent="0.25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IFERROR(__xludf.DUMMYFUNCTION("IMPORTRANGE(""https://docs.google.com/spreadsheets/d/1XL5vhW3sbDhbH9Cz0tuDiY8C3ctxq1tqvaCgkFb8cCA/edit?usp=sharing"",""มหาสารคาม!L478"")"),0)</f>
        <v>0</v>
      </c>
      <c r="M583" s="170"/>
      <c r="N583" s="170">
        <f ca="1">IFERROR(__xludf.DUMMYFUNCTION("IMPORTRANGE(""https://docs.google.com/spreadsheets/d/1XL5vhW3sbDhbH9Cz0tuDiY8C3ctxq1tqvaCgkFb8cCA/edit?usp=sharing"",""มหาสารคาม!M478"")"),0)</f>
        <v>0</v>
      </c>
      <c r="O583" s="170">
        <f t="shared" ca="1" si="124"/>
        <v>0</v>
      </c>
      <c r="P583" s="170"/>
    </row>
    <row r="584" spans="1:16" ht="21.75" customHeight="1" x14ac:dyDescent="0.25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IFERROR(__xludf.DUMMYFUNCTION("IMPORTRANGE(""https://docs.google.com/spreadsheets/d/1XL5vhW3sbDhbH9Cz0tuDiY8C3ctxq1tqvaCgkFb8cCA/edit?usp=sharing"",""มหาสารคาม!L479"")"),0)</f>
        <v>0</v>
      </c>
      <c r="M584" s="170"/>
      <c r="N584" s="170">
        <f ca="1">IFERROR(__xludf.DUMMYFUNCTION("IMPORTRANGE(""https://docs.google.com/spreadsheets/d/1XL5vhW3sbDhbH9Cz0tuDiY8C3ctxq1tqvaCgkFb8cCA/edit?usp=sharing"",""มหาสารคาม!M479"")"),0)</f>
        <v>0</v>
      </c>
      <c r="O584" s="170">
        <f t="shared" ca="1" si="124"/>
        <v>0</v>
      </c>
      <c r="P584" s="170"/>
    </row>
    <row r="585" spans="1:16" ht="21.75" customHeight="1" x14ac:dyDescent="0.25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IFERROR(__xludf.DUMMYFUNCTION("IMPORTRANGE(""https://docs.google.com/spreadsheets/d/1XL5vhW3sbDhbH9Cz0tuDiY8C3ctxq1tqvaCgkFb8cCA/edit?usp=sharing"",""มหาสารคาม!M480"")"),0)</f>
        <v>0</v>
      </c>
      <c r="O585" s="170"/>
      <c r="P585" s="170"/>
    </row>
    <row r="586" spans="1:16" ht="21.75" customHeight="1" x14ac:dyDescent="0.25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IFERROR(__xludf.DUMMYFUNCTION("IMPORTRANGE(""https://docs.google.com/spreadsheets/d/1XL5vhW3sbDhbH9Cz0tuDiY8C3ctxq1tqvaCgkFb8cCA/edit?usp=sharing"",""มหาสารคาม!M481"")"),0)</f>
        <v>0</v>
      </c>
      <c r="O586" s="170"/>
      <c r="P586" s="170"/>
    </row>
    <row r="587" spans="1:16" ht="21.75" customHeight="1" x14ac:dyDescent="0.25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IFERROR(__xludf.DUMMYFUNCTION("IMPORTRANGE(""https://docs.google.com/spreadsheets/d/1XL5vhW3sbDhbH9Cz0tuDiY8C3ctxq1tqvaCgkFb8cCA/edit?usp=sharing"",""มหาสารคาม!M482"")"),0)</f>
        <v>0</v>
      </c>
      <c r="O587" s="170"/>
      <c r="P587" s="170"/>
    </row>
    <row r="588" spans="1:16" ht="21.75" customHeight="1" x14ac:dyDescent="0.25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IFERROR(__xludf.DUMMYFUNCTION("IMPORTRANGE(""https://docs.google.com/spreadsheets/d/1XL5vhW3sbDhbH9Cz0tuDiY8C3ctxq1tqvaCgkFb8cCA/edit?usp=sharing"",""มหาสารคาม!M483"")"),0)</f>
        <v>0</v>
      </c>
      <c r="O588" s="170"/>
      <c r="P588" s="170"/>
    </row>
    <row r="589" spans="1:16" ht="21.75" customHeight="1" x14ac:dyDescent="0.25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IFERROR(__xludf.DUMMYFUNCTION("IMPORTRANGE(""https://docs.google.com/spreadsheets/d/1XL5vhW3sbDhbH9Cz0tuDiY8C3ctxq1tqvaCgkFb8cCA/edit?usp=sharing"",""มหาสารคาม!I484"")"),0)</f>
        <v>0</v>
      </c>
      <c r="J589" s="189">
        <f ca="1">IFERROR(__xludf.DUMMYFUNCTION("IMPORTRANGE(""https://docs.google.com/spreadsheets/d/1XL5vhW3sbDhbH9Cz0tuDiY8C3ctxq1tqvaCgkFb8cCA/edit?usp=sharing"",""มหาสารคาม!J484"")"),0)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25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9">
        <f ca="1">IFERROR(__xludf.DUMMYFUNCTION("IMPORTRANGE(""https://docs.google.com/spreadsheets/d/1XL5vhW3sbDhbH9Cz0tuDiY8C3ctxq1tqvaCgkFb8cCA/edit?usp=sharing"",""มหาสารคาม!J485"")"),0)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25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IFERROR(__xludf.DUMMYFUNCTION("IMPORTRANGE(""https://docs.google.com/spreadsheets/d/1XL5vhW3sbDhbH9Cz0tuDiY8C3ctxq1tqvaCgkFb8cCA/edit?usp=sharing"",""มหาสารคาม!I486"")"),0)</f>
        <v>0</v>
      </c>
      <c r="J591" s="189">
        <f ca="1">IFERROR(__xludf.DUMMYFUNCTION("IMPORTRANGE(""https://docs.google.com/spreadsheets/d/1XL5vhW3sbDhbH9Cz0tuDiY8C3ctxq1tqvaCgkFb8cCA/edit?usp=sharing"",""มหาสารคาม!J486"")"),0)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25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9">
        <f ca="1">IFERROR(__xludf.DUMMYFUNCTION("IMPORTRANGE(""https://docs.google.com/spreadsheets/d/1XL5vhW3sbDhbH9Cz0tuDiY8C3ctxq1tqvaCgkFb8cCA/edit?usp=sharing"",""มหาสารคาม!J487"")"),0)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25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IFERROR(__xludf.DUMMYFUNCTION("IMPORTRANGE(""https://docs.google.com/spreadsheets/d/1XL5vhW3sbDhbH9Cz0tuDiY8C3ctxq1tqvaCgkFb8cCA/edit?usp=sharing"",""มหาสารคาม!I488"")"),0)</f>
        <v>0</v>
      </c>
      <c r="J593" s="189">
        <f ca="1">IFERROR(__xludf.DUMMYFUNCTION("IMPORTRANGE(""https://docs.google.com/spreadsheets/d/1XL5vhW3sbDhbH9Cz0tuDiY8C3ctxq1tqvaCgkFb8cCA/edit?usp=sharing"",""มหาสารคาม!J488"")"),0)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25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9">
        <f ca="1">IFERROR(__xludf.DUMMYFUNCTION("IMPORTRANGE(""https://docs.google.com/spreadsheets/d/1XL5vhW3sbDhbH9Cz0tuDiY8C3ctxq1tqvaCgkFb8cCA/edit?usp=sharing"",""มหาสารคาม!J489"")"),0)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25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IFERROR(__xludf.DUMMYFUNCTION("IMPORTRANGE(""https://docs.google.com/spreadsheets/d/1XL5vhW3sbDhbH9Cz0tuDiY8C3ctxq1tqvaCgkFb8cCA/edit?usp=sharing"",""มหาสารคาม!I490"")"),0)</f>
        <v>0</v>
      </c>
      <c r="J595" s="189">
        <f ca="1">IFERROR(__xludf.DUMMYFUNCTION("IMPORTRANGE(""https://docs.google.com/spreadsheets/d/1XL5vhW3sbDhbH9Cz0tuDiY8C3ctxq1tqvaCgkFb8cCA/edit?usp=sharing"",""มหาสารคาม!J490"")"),0)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7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25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IFERROR(__xludf.DUMMYFUNCTION("IMPORTRANGE(""https://docs.google.com/spreadsheets/d/1XL5vhW3sbDhbH9Cz0tuDiY8C3ctxq1tqvaCgkFb8cCA/edit?usp=sharing"",""มหาสารคาม!L493"")"),0)</f>
        <v>0</v>
      </c>
      <c r="M598" s="166"/>
      <c r="N598" s="170">
        <f ca="1">IFERROR(__xludf.DUMMYFUNCTION("IMPORTRANGE(""https://docs.google.com/spreadsheets/d/1XL5vhW3sbDhbH9Cz0tuDiY8C3ctxq1tqvaCgkFb8cCA/edit?usp=sharing"",""มหาสารคาม!M493"")"),0)</f>
        <v>0</v>
      </c>
      <c r="O598" s="170">
        <f t="shared" ca="1" si="126"/>
        <v>0</v>
      </c>
      <c r="P598" s="170"/>
    </row>
    <row r="599" spans="1:16" ht="21.75" customHeight="1" x14ac:dyDescent="0.25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IFERROR(__xludf.DUMMYFUNCTION("IMPORTRANGE(""https://docs.google.com/spreadsheets/d/1XL5vhW3sbDhbH9Cz0tuDiY8C3ctxq1tqvaCgkFb8cCA/edit?usp=sharing"",""มหาสารคาม!L494"")"),15300)</f>
        <v>15300</v>
      </c>
      <c r="M599" s="167"/>
      <c r="N599" s="170">
        <f ca="1">IFERROR(__xludf.DUMMYFUNCTION("IMPORTRANGE(""https://docs.google.com/spreadsheets/d/1XL5vhW3sbDhbH9Cz0tuDiY8C3ctxq1tqvaCgkFb8cCA/edit?usp=sharing"",""มหาสารคาม!M494"")"),6200)</f>
        <v>6200</v>
      </c>
      <c r="O599" s="170">
        <f t="shared" ca="1" si="126"/>
        <v>40.522875816993462</v>
      </c>
      <c r="P599" s="170"/>
    </row>
    <row r="600" spans="1:16" ht="21.75" customHeight="1" x14ac:dyDescent="0.25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IFERROR(__xludf.DUMMYFUNCTION("IMPORTRANGE(""https://docs.google.com/spreadsheets/d/1XL5vhW3sbDhbH9Cz0tuDiY8C3ctxq1tqvaCgkFb8cCA/edit?usp=sharing"",""มหาสารคาม!L495"")"),0)</f>
        <v>0</v>
      </c>
      <c r="M600" s="170"/>
      <c r="N600" s="170">
        <f ca="1">IFERROR(__xludf.DUMMYFUNCTION("IMPORTRANGE(""https://docs.google.com/spreadsheets/d/1XL5vhW3sbDhbH9Cz0tuDiY8C3ctxq1tqvaCgkFb8cCA/edit?usp=sharing"",""มหาสารคาม!M495"")"),0)</f>
        <v>0</v>
      </c>
      <c r="O600" s="170">
        <f t="shared" ca="1" si="126"/>
        <v>0</v>
      </c>
      <c r="P600" s="170"/>
    </row>
    <row r="601" spans="1:16" ht="21.75" customHeight="1" x14ac:dyDescent="0.25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IFERROR(__xludf.DUMMYFUNCTION("IMPORTRANGE(""https://docs.google.com/spreadsheets/d/1XL5vhW3sbDhbH9Cz0tuDiY8C3ctxq1tqvaCgkFb8cCA/edit?usp=sharing"",""มหาสารคาม!L496"")"),15300)</f>
        <v>15300</v>
      </c>
      <c r="M601" s="170"/>
      <c r="N601" s="170">
        <f ca="1">IFERROR(__xludf.DUMMYFUNCTION("IMPORTRANGE(""https://docs.google.com/spreadsheets/d/1XL5vhW3sbDhbH9Cz0tuDiY8C3ctxq1tqvaCgkFb8cCA/edit?usp=sharing"",""มหาสารคาม!M496"")"),6200)</f>
        <v>6200</v>
      </c>
      <c r="O601" s="170">
        <f t="shared" ca="1" si="126"/>
        <v>40.522875816993462</v>
      </c>
      <c r="P601" s="170"/>
    </row>
    <row r="602" spans="1:16" ht="21.75" customHeight="1" x14ac:dyDescent="0.25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IFERROR(__xludf.DUMMYFUNCTION("IMPORTRANGE(""https://docs.google.com/spreadsheets/d/1XL5vhW3sbDhbH9Cz0tuDiY8C3ctxq1tqvaCgkFb8cCA/edit?usp=sharing"",""มหาสารคาม!M497"")"),0)</f>
        <v>0</v>
      </c>
      <c r="O602" s="170"/>
      <c r="P602" s="170"/>
    </row>
    <row r="603" spans="1:16" ht="21.75" customHeight="1" x14ac:dyDescent="0.25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IFERROR(__xludf.DUMMYFUNCTION("IMPORTRANGE(""https://docs.google.com/spreadsheets/d/1XL5vhW3sbDhbH9Cz0tuDiY8C3ctxq1tqvaCgkFb8cCA/edit?usp=sharing"",""มหาสารคาม!M498"")"),0)</f>
        <v>0</v>
      </c>
      <c r="O603" s="170"/>
      <c r="P603" s="170"/>
    </row>
    <row r="604" spans="1:16" ht="21.75" customHeight="1" x14ac:dyDescent="0.25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70"/>
      <c r="P604" s="170"/>
    </row>
    <row r="605" spans="1:16" ht="21.75" customHeight="1" x14ac:dyDescent="0.25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70"/>
      <c r="P605" s="170"/>
    </row>
    <row r="606" spans="1:16" ht="21.75" customHeight="1" x14ac:dyDescent="0.25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25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IFERROR(__xludf.DUMMYFUNCTION("IMPORTRANGE(""https://docs.google.com/spreadsheets/d/1XL5vhW3sbDhbH9Cz0tuDiY8C3ctxq1tqvaCgkFb8cCA/edit?usp=sharing"",""มหาสารคาม!J502"")"),0)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25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IFERROR(__xludf.DUMMYFUNCTION("IMPORTRANGE(""https://docs.google.com/spreadsheets/d/1XL5vhW3sbDhbH9Cz0tuDiY8C3ctxq1tqvaCgkFb8cCA/edit?usp=sharing"",""มหาสารคาม!J503"")"),1)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25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IFERROR(__xludf.DUMMYFUNCTION("IMPORTRANGE(""https://docs.google.com/spreadsheets/d/1XL5vhW3sbDhbH9Cz0tuDiY8C3ctxq1tqvaCgkFb8cCA/edit?usp=sharing"",""มหาสารคาม!J166"")"),0)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25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IFERROR(__xludf.DUMMYFUNCTION("IMPORTRANGE(""https://docs.google.com/spreadsheets/d/1XL5vhW3sbDhbH9Cz0tuDiY8C3ctxq1tqvaCgkFb8cCA/edit?usp=sharing"",""มหาสารคาม!J166"")"),0)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25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IFERROR(__xludf.DUMMYFUNCTION("IMPORTRANGE(""https://docs.google.com/spreadsheets/d/1XL5vhW3sbDhbH9Cz0tuDiY8C3ctxq1tqvaCgkFb8cCA/edit?usp=sharing"",""มหาสารคาม!I506"")"),100)</f>
        <v>100</v>
      </c>
      <c r="J611" s="164">
        <f ca="1">IFERROR(__xludf.DUMMYFUNCTION("IMPORTRANGE(""https://docs.google.com/spreadsheets/d/1XL5vhW3sbDhbH9Cz0tuDiY8C3ctxq1tqvaCgkFb8cCA/edit?usp=sharing"",""มหาสารคาม!J506"")"),0)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25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IFERROR(__xludf.DUMMYFUNCTION("IMPORTRANGE(""https://docs.google.com/spreadsheets/d/1XL5vhW3sbDhbH9Cz0tuDiY8C3ctxq1tqvaCgkFb8cCA/edit?usp=sharing"",""มหาสารคาม!I507"")"),0)</f>
        <v>0</v>
      </c>
      <c r="J612" s="199">
        <f ca="1">IFERROR(__xludf.DUMMYFUNCTION("IMPORTRANGE(""https://docs.google.com/spreadsheets/d/1XL5vhW3sbDhbH9Cz0tuDiY8C3ctxq1tqvaCgkFb8cCA/edit?usp=sharing"",""มหาสารคาม!J507"")"),77)</f>
        <v>77</v>
      </c>
      <c r="K612" s="165">
        <f t="shared" ca="1" si="127"/>
        <v>77</v>
      </c>
      <c r="L612" s="183"/>
      <c r="M612" s="183"/>
      <c r="N612" s="183"/>
      <c r="O612" s="183"/>
      <c r="P612" s="183"/>
    </row>
    <row r="613" spans="1:16" ht="21.75" customHeight="1" x14ac:dyDescent="0.25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IFERROR(__xludf.DUMMYFUNCTION("IMPORTRANGE(""https://docs.google.com/spreadsheets/d/1XL5vhW3sbDhbH9Cz0tuDiY8C3ctxq1tqvaCgkFb8cCA/edit?usp=sharing"",""มหาสารคาม!I508"")"),0)</f>
        <v>0</v>
      </c>
      <c r="J613" s="199">
        <f ca="1">IFERROR(__xludf.DUMMYFUNCTION("IMPORTRANGE(""https://docs.google.com/spreadsheets/d/1XL5vhW3sbDhbH9Cz0tuDiY8C3ctxq1tqvaCgkFb8cCA/edit?usp=sharing"",""มหาสารคาม!J508"")"),77)</f>
        <v>77</v>
      </c>
      <c r="K613" s="165">
        <f t="shared" ca="1" si="127"/>
        <v>77</v>
      </c>
      <c r="L613" s="183"/>
      <c r="M613" s="183"/>
      <c r="N613" s="183"/>
      <c r="O613" s="183"/>
      <c r="P613" s="183"/>
    </row>
    <row r="614" spans="1:16" ht="21.75" customHeight="1" x14ac:dyDescent="0.25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IFERROR(__xludf.DUMMYFUNCTION("IMPORTRANGE(""https://docs.google.com/spreadsheets/d/1XL5vhW3sbDhbH9Cz0tuDiY8C3ctxq1tqvaCgkFb8cCA/edit?usp=sharing"",""มหาสารคาม!I509"")"),0)</f>
        <v>0</v>
      </c>
      <c r="J614" s="199">
        <f ca="1">IFERROR(__xludf.DUMMYFUNCTION("IMPORTRANGE(""https://docs.google.com/spreadsheets/d/1XL5vhW3sbDhbH9Cz0tuDiY8C3ctxq1tqvaCgkFb8cCA/edit?usp=sharing"",""มหาสารคาม!J509"")"),0)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25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IFERROR(__xludf.DUMMYFUNCTION("IMPORTRANGE(""https://docs.google.com/spreadsheets/d/1XL5vhW3sbDhbH9Cz0tuDiY8C3ctxq1tqvaCgkFb8cCA/edit?usp=sharing"",""มหาสารคาม!I510"")"),0)</f>
        <v>0</v>
      </c>
      <c r="J615" s="199">
        <f ca="1">IFERROR(__xludf.DUMMYFUNCTION("IMPORTRANGE(""https://docs.google.com/spreadsheets/d/1XL5vhW3sbDhbH9Cz0tuDiY8C3ctxq1tqvaCgkFb8cCA/edit?usp=sharing"",""มหาสารคาม!J510"")"),0)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25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IFERROR(__xludf.DUMMYFUNCTION("IMPORTRANGE(""https://docs.google.com/spreadsheets/d/1XL5vhW3sbDhbH9Cz0tuDiY8C3ctxq1tqvaCgkFb8cCA/edit?usp=sharing"",""มหาสารคาม!I511"")"),0)</f>
        <v>0</v>
      </c>
      <c r="J616" s="199">
        <f ca="1">IFERROR(__xludf.DUMMYFUNCTION("IMPORTRANGE(""https://docs.google.com/spreadsheets/d/1XL5vhW3sbDhbH9Cz0tuDiY8C3ctxq1tqvaCgkFb8cCA/edit?usp=sharing"",""มหาสารคาม!J511"")"),0)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25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IFERROR(__xludf.DUMMYFUNCTION("IMPORTRANGE(""https://docs.google.com/spreadsheets/d/1XL5vhW3sbDhbH9Cz0tuDiY8C3ctxq1tqvaCgkFb8cCA/edit?usp=sharing"",""มหาสารคาม!I512"")"),0)</f>
        <v>0</v>
      </c>
      <c r="J617" s="189">
        <f ca="1">IFERROR(__xludf.DUMMYFUNCTION("IMPORTRANGE(""https://docs.google.com/spreadsheets/d/1XL5vhW3sbDhbH9Cz0tuDiY8C3ctxq1tqvaCgkFb8cCA/edit?usp=sharing"",""มหาสารคาม!J512"")"),0)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25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IFERROR(__xludf.DUMMYFUNCTION("IMPORTRANGE(""https://docs.google.com/spreadsheets/d/1XL5vhW3sbDhbH9Cz0tuDiY8C3ctxq1tqvaCgkFb8cCA/edit?usp=sharing"",""มหาสารคาม!I513"")"),0)</f>
        <v>0</v>
      </c>
      <c r="J618" s="190">
        <f ca="1">IFERROR(__xludf.DUMMYFUNCTION("IMPORTRANGE(""https://docs.google.com/spreadsheets/d/1XL5vhW3sbDhbH9Cz0tuDiY8C3ctxq1tqvaCgkFb8cCA/edit?usp=sharing"",""มหาสารคาม!J513"")"),0)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25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IFERROR(__xludf.DUMMYFUNCTION("IMPORTRANGE(""https://docs.google.com/spreadsheets/d/1XL5vhW3sbDhbH9Cz0tuDiY8C3ctxq1tqvaCgkFb8cCA/edit?usp=sharing"",""มหาสารคาม!I514"")"),0)</f>
        <v>0</v>
      </c>
      <c r="J619" s="190">
        <f ca="1">IFERROR(__xludf.DUMMYFUNCTION("IMPORTRANGE(""https://docs.google.com/spreadsheets/d/1XL5vhW3sbDhbH9Cz0tuDiY8C3ctxq1tqvaCgkFb8cCA/edit?usp=sharing"",""มหาสารคาม!J514"")"),0)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25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IFERROR(__xludf.DUMMYFUNCTION("IMPORTRANGE(""https://docs.google.com/spreadsheets/d/1XL5vhW3sbDhbH9Cz0tuDiY8C3ctxq1tqvaCgkFb8cCA/edit?usp=sharing"",""มหาสารคาม!I515"")"),0)</f>
        <v>0</v>
      </c>
      <c r="J620" s="204">
        <f ca="1">IFERROR(__xludf.DUMMYFUNCTION("IMPORTRANGE(""https://docs.google.com/spreadsheets/d/1XL5vhW3sbDhbH9Cz0tuDiY8C3ctxq1tqvaCgkFb8cCA/edit?usp=sharing"",""มหาสารคาม!J515"")"),0)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25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IFERROR(__xludf.DUMMYFUNCTION("IMPORTRANGE(""https://docs.google.com/spreadsheets/d/1XL5vhW3sbDhbH9Cz0tuDiY8C3ctxq1tqvaCgkFb8cCA/edit?usp=sharing"",""มหาสารคาม!I516"")"),0)</f>
        <v>0</v>
      </c>
      <c r="J621" s="204">
        <f ca="1">IFERROR(__xludf.DUMMYFUNCTION("IMPORTRANGE(""https://docs.google.com/spreadsheets/d/1XL5vhW3sbDhbH9Cz0tuDiY8C3ctxq1tqvaCgkFb8cCA/edit?usp=sharing"",""มหาสารคาม!J516"")"),0)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25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IFERROR(__xludf.DUMMYFUNCTION("IMPORTRANGE(""https://docs.google.com/spreadsheets/d/1XL5vhW3sbDhbH9Cz0tuDiY8C3ctxq1tqvaCgkFb8cCA/edit?usp=sharing"",""มหาสารคาม!I517"")"),0)</f>
        <v>0</v>
      </c>
      <c r="J622" s="190">
        <f ca="1">IFERROR(__xludf.DUMMYFUNCTION("IMPORTRANGE(""https://docs.google.com/spreadsheets/d/1XL5vhW3sbDhbH9Cz0tuDiY8C3ctxq1tqvaCgkFb8cCA/edit?usp=sharing"",""มหาสารคาม!J517"")"),0)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25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IFERROR(__xludf.DUMMYFUNCTION("IMPORTRANGE(""https://docs.google.com/spreadsheets/d/1XL5vhW3sbDhbH9Cz0tuDiY8C3ctxq1tqvaCgkFb8cCA/edit?usp=sharing"",""มหาสารคาม!I518"")"),0)</f>
        <v>0</v>
      </c>
      <c r="J623" s="190">
        <f ca="1">IFERROR(__xludf.DUMMYFUNCTION("IMPORTRANGE(""https://docs.google.com/spreadsheets/d/1XL5vhW3sbDhbH9Cz0tuDiY8C3ctxq1tqvaCgkFb8cCA/edit?usp=sharing"",""มหาสารคาม!J518"")"),0)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25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IFERROR(__xludf.DUMMYFUNCTION("IMPORTRANGE(""https://docs.google.com/spreadsheets/d/1XL5vhW3sbDhbH9Cz0tuDiY8C3ctxq1tqvaCgkFb8cCA/edit?usp=sharing"",""มหาสารคาม!I519"")"),0)</f>
        <v>0</v>
      </c>
      <c r="J624" s="189">
        <f ca="1">IFERROR(__xludf.DUMMYFUNCTION("IMPORTRANGE(""https://docs.google.com/spreadsheets/d/1XL5vhW3sbDhbH9Cz0tuDiY8C3ctxq1tqvaCgkFb8cCA/edit?usp=sharing"",""มหาสารคาม!J519"")"),0)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25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IFERROR(__xludf.DUMMYFUNCTION("IMPORTRANGE(""https://docs.google.com/spreadsheets/d/1XL5vhW3sbDhbH9Cz0tuDiY8C3ctxq1tqvaCgkFb8cCA/edit?usp=sharing"",""มหาสารคาม!I520"")"),0)</f>
        <v>0</v>
      </c>
      <c r="J625" s="190">
        <f ca="1">IFERROR(__xludf.DUMMYFUNCTION("IMPORTRANGE(""https://docs.google.com/spreadsheets/d/1XL5vhW3sbDhbH9Cz0tuDiY8C3ctxq1tqvaCgkFb8cCA/edit?usp=sharing"",""มหาสารคาม!J520"")"),0)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25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IFERROR(__xludf.DUMMYFUNCTION("IMPORTRANGE(""https://docs.google.com/spreadsheets/d/1XL5vhW3sbDhbH9Cz0tuDiY8C3ctxq1tqvaCgkFb8cCA/edit?usp=sharing"",""มหาสารคาม!I521"")"),0)</f>
        <v>0</v>
      </c>
      <c r="J626" s="190">
        <f ca="1">IFERROR(__xludf.DUMMYFUNCTION("IMPORTRANGE(""https://docs.google.com/spreadsheets/d/1XL5vhW3sbDhbH9Cz0tuDiY8C3ctxq1tqvaCgkFb8cCA/edit?usp=sharing"",""มหาสารคาม!J521"")"),0)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1">
        <f ca="1">IFERROR(__xludf.DUMMYFUNCTION("IMPORTRANGE(""https://docs.google.com/spreadsheets/d/1XL5vhW3sbDhbH9Cz0tuDiY8C3ctxq1tqvaCgkFb8cCA/edit?usp=sharing"",""มหาสารคาม!J523"")"),3954418.63)</f>
        <v>3954418.63</v>
      </c>
      <c r="K628" s="342">
        <f t="shared" ref="K628:K635" ca="1" si="129">IF(I628&gt;0,J628*100/I628,0)</f>
        <v>26.565959229088488</v>
      </c>
      <c r="L628" s="342"/>
      <c r="M628" s="342"/>
      <c r="N628" s="342"/>
      <c r="O628" s="170"/>
      <c r="P628" s="170"/>
    </row>
    <row r="629" spans="1:16" ht="21.75" customHeight="1" x14ac:dyDescent="0.25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IFERROR(__xludf.DUMMYFUNCTION("IMPORTRANGE(""https://docs.google.com/spreadsheets/d/1XL5vhW3sbDhbH9Cz0tuDiY8C3ctxq1tqvaCgkFb8cCA/edit?usp=sharing"",""มหาสารคาม!I524"")"),1487)</f>
        <v>1487</v>
      </c>
      <c r="J629" s="341">
        <f ca="1">IFERROR(__xludf.DUMMYFUNCTION("IMPORTRANGE(""https://docs.google.com/spreadsheets/d/1XL5vhW3sbDhbH9Cz0tuDiY8C3ctxq1tqvaCgkFb8cCA/edit?usp=sharing"",""มหาสารคาม!J524"")"),376)</f>
        <v>376</v>
      </c>
      <c r="K629" s="342">
        <f t="shared" ca="1" si="129"/>
        <v>25.285810356422328</v>
      </c>
      <c r="L629" s="342"/>
      <c r="M629" s="342"/>
      <c r="N629" s="342"/>
      <c r="O629" s="170"/>
      <c r="P629" s="170"/>
    </row>
    <row r="630" spans="1:16" ht="21.75" customHeight="1" x14ac:dyDescent="0.25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1">
        <f ca="1">IFERROR(__xludf.DUMMYFUNCTION("IMPORTRANGE(""https://docs.google.com/spreadsheets/d/1XL5vhW3sbDhbH9Cz0tuDiY8C3ctxq1tqvaCgkFb8cCA/edit?usp=sharing"",""มหาสารคาม!J525"")"),925467.32)</f>
        <v>925467.32</v>
      </c>
      <c r="K630" s="342">
        <f t="shared" ca="1" si="129"/>
        <v>13.939404727449679</v>
      </c>
      <c r="L630" s="342"/>
      <c r="M630" s="342"/>
      <c r="N630" s="342"/>
      <c r="O630" s="170"/>
      <c r="P630" s="170"/>
    </row>
    <row r="631" spans="1:16" ht="21.75" customHeight="1" x14ac:dyDescent="0.25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IFERROR(__xludf.DUMMYFUNCTION("IMPORTRANGE(""https://docs.google.com/spreadsheets/d/1XL5vhW3sbDhbH9Cz0tuDiY8C3ctxq1tqvaCgkFb8cCA/edit?usp=sharing"",""มหาสารคาม!I526"")"),300)</f>
        <v>300</v>
      </c>
      <c r="J631" s="341">
        <f ca="1">IFERROR(__xludf.DUMMYFUNCTION("IMPORTRANGE(""https://docs.google.com/spreadsheets/d/1XL5vhW3sbDhbH9Cz0tuDiY8C3ctxq1tqvaCgkFb8cCA/edit?usp=sharing"",""มหาสารคาม!J526"")"),95)</f>
        <v>95</v>
      </c>
      <c r="K631" s="342">
        <f t="shared" ca="1" si="129"/>
        <v>31.666666666666668</v>
      </c>
      <c r="L631" s="342"/>
      <c r="M631" s="342"/>
      <c r="N631" s="342"/>
      <c r="O631" s="170"/>
      <c r="P631" s="170"/>
    </row>
    <row r="632" spans="1:16" ht="21.75" customHeight="1" x14ac:dyDescent="0.25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IFERROR(__xludf.DUMMYFUNCTION("IMPORTRANGE(""https://docs.google.com/spreadsheets/d/1XL5vhW3sbDhbH9Cz0tuDiY8C3ctxq1tqvaCgkFb8cCA/edit?usp=sharing"",""มหาสารคาม!I527"")"),0)</f>
        <v>0</v>
      </c>
      <c r="J632" s="341">
        <f ca="1">IFERROR(__xludf.DUMMYFUNCTION("IMPORTRANGE(""https://docs.google.com/spreadsheets/d/1XL5vhW3sbDhbH9Cz0tuDiY8C3ctxq1tqvaCgkFb8cCA/edit?usp=sharing"",""มหาสารคาม!J527"")"),0)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25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IFERROR(__xludf.DUMMYFUNCTION("IMPORTRANGE(""https://docs.google.com/spreadsheets/d/1XL5vhW3sbDhbH9Cz0tuDiY8C3ctxq1tqvaCgkFb8cCA/edit?usp=sharing"",""มหาสารคาม!I528"")"),0)</f>
        <v>0</v>
      </c>
      <c r="J633" s="341">
        <f ca="1">IFERROR(__xludf.DUMMYFUNCTION("IMPORTRANGE(""https://docs.google.com/spreadsheets/d/1XL5vhW3sbDhbH9Cz0tuDiY8C3ctxq1tqvaCgkFb8cCA/edit?usp=sharing"",""มหาสารคาม!J528"")"),0)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25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1">
        <f ca="1">IFERROR(__xludf.DUMMYFUNCTION("IMPORTRANGE(""https://docs.google.com/spreadsheets/d/1XL5vhW3sbDhbH9Cz0tuDiY8C3ctxq1tqvaCgkFb8cCA/edit?usp=sharing"",""มหาสารคาม!J529"")"),0)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IFERROR(__xludf.DUMMYFUNCTION("IMPORTRANGE(""https://docs.google.com/spreadsheets/d/1XL5vhW3sbDhbH9Cz0tuDiY8C3ctxq1tqvaCgkFb8cCA/edit?usp=sharing"",""มหาสารคาม!I530"")"),400)</f>
        <v>400</v>
      </c>
      <c r="J635" s="504">
        <f ca="1">IFERROR(__xludf.DUMMYFUNCTION("IMPORTRANGE(""https://docs.google.com/spreadsheets/d/1XL5vhW3sbDhbH9Cz0tuDiY8C3ctxq1tqvaCgkFb8cCA/edit?usp=sharing"",""มหาสารคาม!J530"")"),0)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25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25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25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25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25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25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25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25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25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25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25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25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25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25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25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25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25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25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25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25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25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25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25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25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25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25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25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25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25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25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25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25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25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25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25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25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25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25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25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25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25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25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25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25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25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25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25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25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25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25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25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25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25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25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25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25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25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25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25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25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25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25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25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25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25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25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25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25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25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25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25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25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25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25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25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25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25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25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25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25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25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25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25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25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25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25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25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25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25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25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25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25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25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25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25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25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25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25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25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25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25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25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25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25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25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25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25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25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25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25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25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25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25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25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25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25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25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25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25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25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25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25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25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25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25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25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25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25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25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25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25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25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25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25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25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25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25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25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25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25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25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25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25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25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25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25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25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25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25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25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25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25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25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25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25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25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25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25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25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25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25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25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25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25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25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25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25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25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25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25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25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25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25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25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25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25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25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25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25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25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25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25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25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25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25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25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25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25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25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25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25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25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25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25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25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25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25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25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25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25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25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25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25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25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25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25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25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25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25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25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25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25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25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25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25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25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25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25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25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25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25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25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25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25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25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25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25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25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25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25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25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25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25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25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25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25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25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25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25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25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25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25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25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25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25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25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25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25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25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25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25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25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25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25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25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25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25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25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25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25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25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25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25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25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25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25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25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25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25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25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25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25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25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25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25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25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25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25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25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25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25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25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25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25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25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25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25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25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25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25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25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25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25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25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25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25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25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25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25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25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25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25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25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25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25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25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25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25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25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25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25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25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25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25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25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25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25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25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25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25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25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25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25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25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25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25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25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25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25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25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25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25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25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25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25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25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25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25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25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25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25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25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25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25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25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25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25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25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25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25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25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25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25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25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25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25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25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25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25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25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25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25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25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25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25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25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25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25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25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25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25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25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25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25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25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25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25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25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25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25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25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25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25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25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25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25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25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25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25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25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25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25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25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25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25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25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25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25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25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25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25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25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25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25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25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25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25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25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25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25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25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25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25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25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25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25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25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25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25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25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25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25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25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25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25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25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25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25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25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25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25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25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25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25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25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25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25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25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25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25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25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25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25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25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25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25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25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25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25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25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25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25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25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25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25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25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25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25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25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25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25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25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25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25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25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25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25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25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25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25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25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25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25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25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25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25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25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25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25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25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25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25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25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25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25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25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25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25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25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25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25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25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25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25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25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25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25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25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25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25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25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25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25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25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25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25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25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25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2022-03-17T04:50:23Z</cp:lastPrinted>
  <dcterms:modified xsi:type="dcterms:W3CDTF">2022-03-21T02:12:44Z</dcterms:modified>
</cp:coreProperties>
</file>